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updateLinks="never"/>
  <mc:AlternateContent xmlns:mc="http://schemas.openxmlformats.org/markup-compatibility/2006">
    <mc:Choice Requires="x15">
      <x15ac:absPath xmlns:x15ac="http://schemas.microsoft.com/office/spreadsheetml/2010/11/ac" url="S:\Michele\WebSite\Bridge QAR\"/>
    </mc:Choice>
  </mc:AlternateContent>
  <xr:revisionPtr revIDLastSave="0" documentId="8_{15DB2D99-813A-49D7-AB77-754A3D17A81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R-100" sheetId="1" r:id="rId1"/>
    <sheet name="SMS Coding Input" sheetId="6" state="hidden" r:id="rId2"/>
    <sheet name="AssetWise Coding Input" sheetId="4" r:id="rId3"/>
    <sheet name="Calcs &amp; Signs" sheetId="5" r:id="rId4"/>
    <sheet name="List" sheetId="2" state="hidden" r:id="rId5"/>
  </sheets>
  <externalReferences>
    <externalReference r:id="rId6"/>
  </externalReferences>
  <definedNames>
    <definedName name="BlankSign">'Calcs &amp; Signs'!$P$10:$Q$17</definedName>
    <definedName name="BlankStamp" localSheetId="1">'[1]Calcs &amp; Signs'!#REF!</definedName>
    <definedName name="BlankStamp">'Calcs &amp; Signs'!#REF!</definedName>
    <definedName name="ClosureSign">'Calcs &amp; Signs'!$V$10:$W$17</definedName>
    <definedName name="Design" localSheetId="1">[1]List!$V$3:$V$15</definedName>
    <definedName name="Design">List!$V$3:$V$15</definedName>
    <definedName name="DesignRF">'BR-100'!$K$25:$N$26</definedName>
    <definedName name="Disabled">'Calcs &amp; Signs'!$Y$10:$Z$17</definedName>
    <definedName name="EVSign">'Calcs &amp; Signs'!$S$10:$T$17</definedName>
    <definedName name="LegalPosting" localSheetId="1">INDIRECT('[1]Calcs &amp; Signs'!$N$2)</definedName>
    <definedName name="LegalPosting">INDIRECT('Calcs &amp; Signs'!$N$3)</definedName>
    <definedName name="LegalSign">'Calcs &amp; Signs'!$L$11:$N$17</definedName>
    <definedName name="LLResponce">List!$AC$3:$AC$4</definedName>
    <definedName name="Manual">'Calcs &amp; Signs'!$AB$11:$AD$17</definedName>
    <definedName name="Method" localSheetId="1">[1]List!$P$3:$P$12</definedName>
    <definedName name="Method">List!$P$3:$P$12</definedName>
    <definedName name="NoSign">#REF!</definedName>
    <definedName name="OpenPostedClosed" localSheetId="1">[1]List!$Z$3:$Z$13</definedName>
    <definedName name="OpenPostedClosed">List!$AA$3:$AA$13</definedName>
    <definedName name="_xlnm.Print_Area" localSheetId="2">'AssetWise Coding Input'!$A$1:$H$65</definedName>
    <definedName name="_xlnm.Print_Area" localSheetId="0">'BR-100'!$A$1:$N$50</definedName>
    <definedName name="_xlnm.Print_Area" localSheetId="1">'SMS Coding Input'!$B$3:$L$59</definedName>
    <definedName name="Purpose" localSheetId="1">[1]List!$G$3:$G$10</definedName>
    <definedName name="Purpose">List!$G$3:$G$10</definedName>
    <definedName name="RaterStamp" localSheetId="1">'[1]Calcs &amp; Signs'!#REF!</definedName>
    <definedName name="RaterStamp">'Calcs &amp; Signs'!#REF!</definedName>
    <definedName name="ReviewerStamp" localSheetId="1">'[1]Calcs &amp; Signs'!#REF!</definedName>
    <definedName name="ReviewerStamp">'Calcs &amp; Signs'!#REF!</definedName>
    <definedName name="Software" localSheetId="1">[1]List!$J$3:$J$13</definedName>
    <definedName name="Software">List!$J$3:$J$13</definedName>
    <definedName name="Source" localSheetId="1">[1]List!$M$3:$M$7</definedName>
    <definedName name="Source">List!$M$3:$M$7</definedName>
    <definedName name="Stamp" localSheetId="1">INDIRECT('[1]Calcs &amp; Signs'!#REF!)</definedName>
    <definedName name="Stamp">INDIRECT('Calcs &amp; Signs'!#REF!)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4" l="1"/>
  <c r="H25" i="1" l="1"/>
  <c r="E11" i="6" s="1"/>
  <c r="B2" i="6"/>
  <c r="E27" i="6"/>
  <c r="D43" i="5"/>
  <c r="J27" i="6" s="1"/>
  <c r="D41" i="5"/>
  <c r="J33" i="6" s="1"/>
  <c r="D39" i="5"/>
  <c r="E33" i="6" s="1"/>
  <c r="D38" i="5"/>
  <c r="E43" i="5"/>
  <c r="J29" i="6" s="1"/>
  <c r="E41" i="5"/>
  <c r="J35" i="6" s="1"/>
  <c r="E39" i="5"/>
  <c r="E35" i="6" s="1"/>
  <c r="E38" i="5"/>
  <c r="E29" i="6" s="1"/>
  <c r="J17" i="6" l="1"/>
  <c r="J15" i="6"/>
  <c r="J7" i="6"/>
  <c r="E15" i="6"/>
  <c r="E7" i="6"/>
  <c r="E5" i="6"/>
  <c r="C5" i="6"/>
  <c r="H5" i="6"/>
  <c r="C7" i="6"/>
  <c r="H7" i="6"/>
  <c r="C9" i="6"/>
  <c r="H9" i="6"/>
  <c r="C11" i="6"/>
  <c r="H11" i="6"/>
  <c r="C13" i="6"/>
  <c r="H13" i="6"/>
  <c r="C15" i="6"/>
  <c r="H15" i="6"/>
  <c r="C17" i="6"/>
  <c r="H17" i="6"/>
  <c r="C19" i="6"/>
  <c r="H19" i="6"/>
  <c r="C21" i="6"/>
  <c r="C27" i="6"/>
  <c r="H27" i="6"/>
  <c r="C29" i="6"/>
  <c r="H29" i="6"/>
  <c r="C31" i="6"/>
  <c r="H31" i="6"/>
  <c r="C33" i="6"/>
  <c r="H33" i="6"/>
  <c r="C35" i="6"/>
  <c r="H35" i="6"/>
  <c r="C37" i="6"/>
  <c r="H37" i="6"/>
  <c r="C39" i="6"/>
  <c r="H39" i="6"/>
  <c r="C41" i="6"/>
  <c r="H41" i="6"/>
  <c r="C43" i="6"/>
  <c r="H43" i="6"/>
  <c r="C45" i="6"/>
  <c r="H45" i="6"/>
  <c r="H47" i="6"/>
  <c r="Q27" i="5" l="1"/>
  <c r="C49" i="4"/>
  <c r="C47" i="4"/>
  <c r="C45" i="4"/>
  <c r="C31" i="4"/>
  <c r="S28" i="5"/>
  <c r="S27" i="5"/>
  <c r="Q28" i="5"/>
  <c r="O28" i="5"/>
  <c r="O27" i="5"/>
  <c r="M28" i="5"/>
  <c r="M27" i="5"/>
  <c r="Q30" i="5" l="1"/>
  <c r="J11" i="6" s="1"/>
  <c r="M30" i="5"/>
  <c r="J9" i="6" s="1"/>
  <c r="S30" i="5"/>
  <c r="D27" i="5"/>
  <c r="C57" i="5"/>
  <c r="C7" i="5"/>
  <c r="E59" i="4" s="1"/>
  <c r="C63" i="4"/>
  <c r="C61" i="4"/>
  <c r="C59" i="4"/>
  <c r="C57" i="4"/>
  <c r="C55" i="4"/>
  <c r="C53" i="4"/>
  <c r="C51" i="4"/>
  <c r="C18" i="4"/>
  <c r="C43" i="4"/>
  <c r="C41" i="4"/>
  <c r="C39" i="4"/>
  <c r="C37" i="4"/>
  <c r="C35" i="4"/>
  <c r="C33" i="4"/>
  <c r="C24" i="4"/>
  <c r="C22" i="4"/>
  <c r="C20" i="4"/>
  <c r="C16" i="4"/>
  <c r="C14" i="4"/>
  <c r="C12" i="4"/>
  <c r="C10" i="4"/>
  <c r="C8" i="4"/>
  <c r="E14" i="4"/>
  <c r="E53" i="4" l="1"/>
  <c r="E55" i="4"/>
  <c r="E57" i="4"/>
  <c r="J13" i="6"/>
  <c r="C54" i="5"/>
  <c r="E54" i="5" s="1"/>
  <c r="C53" i="5"/>
  <c r="E53" i="5" s="1"/>
  <c r="B25" i="1" l="1"/>
  <c r="B26" i="1"/>
  <c r="B28" i="1"/>
  <c r="B29" i="1"/>
  <c r="B32" i="1"/>
  <c r="B33" i="1"/>
  <c r="B35" i="1"/>
  <c r="B36" i="1"/>
  <c r="D23" i="5" l="1"/>
  <c r="B41" i="1" s="1"/>
  <c r="D22" i="5"/>
  <c r="B40" i="1" s="1"/>
  <c r="C22" i="5"/>
  <c r="B23" i="5"/>
  <c r="B22" i="5"/>
  <c r="D52" i="6" l="1"/>
  <c r="E47" i="4"/>
  <c r="E22" i="5"/>
  <c r="G22" i="5"/>
  <c r="T14" i="5" l="1"/>
  <c r="H53" i="5"/>
  <c r="H54" i="5" l="1"/>
  <c r="I54" i="5" s="1"/>
  <c r="I53" i="5"/>
  <c r="L53" i="5" l="1"/>
  <c r="P8" i="1" s="1"/>
  <c r="E19" i="6" l="1"/>
  <c r="J5" i="6" s="1"/>
  <c r="E13" i="6"/>
  <c r="C12" i="5"/>
  <c r="C21" i="5" l="1"/>
  <c r="E21" i="5" s="1"/>
  <c r="H21" i="5" s="1"/>
  <c r="A41" i="1"/>
  <c r="A40" i="1"/>
  <c r="A36" i="1"/>
  <c r="A35" i="1"/>
  <c r="A33" i="1"/>
  <c r="A32" i="1"/>
  <c r="A29" i="1"/>
  <c r="A28" i="1"/>
  <c r="A26" i="1"/>
  <c r="A25" i="1"/>
  <c r="E45" i="4" l="1"/>
  <c r="G21" i="5"/>
  <c r="D71" i="5"/>
  <c r="D74" i="5" s="1"/>
  <c r="E8" i="4" s="1"/>
  <c r="D70" i="5"/>
  <c r="I4" i="5" s="1"/>
  <c r="D69" i="5"/>
  <c r="M69" i="5" s="1"/>
  <c r="D68" i="5"/>
  <c r="M68" i="5" s="1"/>
  <c r="D67" i="5"/>
  <c r="M67" i="5" s="1"/>
  <c r="M71" i="5" l="1"/>
  <c r="D32" i="5"/>
  <c r="K23" i="1" s="1"/>
  <c r="M70" i="5"/>
  <c r="C18" i="5"/>
  <c r="E18" i="5" s="1"/>
  <c r="C19" i="5"/>
  <c r="D30" i="5" s="1"/>
  <c r="D48" i="5" s="1"/>
  <c r="D49" i="5" s="1"/>
  <c r="C15" i="5"/>
  <c r="C39" i="5" s="1"/>
  <c r="E37" i="6" s="1"/>
  <c r="C13" i="5"/>
  <c r="C61" i="5"/>
  <c r="C23" i="5"/>
  <c r="D53" i="6" s="1"/>
  <c r="C20" i="5"/>
  <c r="E20" i="5" s="1"/>
  <c r="C17" i="5"/>
  <c r="C16" i="5"/>
  <c r="E16" i="5" s="1"/>
  <c r="C14" i="5"/>
  <c r="C38" i="5" s="1"/>
  <c r="E31" i="6" s="1"/>
  <c r="M72" i="5" l="1"/>
  <c r="E19" i="5"/>
  <c r="H18" i="5" s="1"/>
  <c r="N14" i="5" s="1"/>
  <c r="C41" i="5"/>
  <c r="J37" i="6" s="1"/>
  <c r="H16" i="5"/>
  <c r="F40" i="5"/>
  <c r="E17" i="5"/>
  <c r="N17" i="5" s="1"/>
  <c r="C43" i="5"/>
  <c r="J31" i="6" s="1"/>
  <c r="H20" i="5"/>
  <c r="N16" i="5" s="1"/>
  <c r="F42" i="5"/>
  <c r="E23" i="5"/>
  <c r="T15" i="5" s="1"/>
  <c r="E49" i="4"/>
  <c r="E15" i="5"/>
  <c r="E14" i="5"/>
  <c r="F35" i="1"/>
  <c r="E37" i="4"/>
  <c r="E43" i="4"/>
  <c r="E41" i="4"/>
  <c r="F32" i="1"/>
  <c r="E39" i="4"/>
  <c r="E35" i="4"/>
  <c r="E33" i="4"/>
  <c r="E31" i="4"/>
  <c r="F36" i="1"/>
  <c r="G23" i="5"/>
  <c r="C27" i="5" s="1"/>
  <c r="J47" i="6"/>
  <c r="G14" i="5"/>
  <c r="G20" i="5"/>
  <c r="G19" i="5"/>
  <c r="G18" i="5"/>
  <c r="G17" i="5"/>
  <c r="G16" i="5"/>
  <c r="G15" i="5"/>
  <c r="G22" i="4"/>
  <c r="G12" i="4"/>
  <c r="C62" i="5"/>
  <c r="C63" i="5" s="1"/>
  <c r="E12" i="4" s="1"/>
  <c r="H19" i="5" l="1"/>
  <c r="N15" i="5" s="1"/>
  <c r="H14" i="5"/>
  <c r="F38" i="5"/>
  <c r="H15" i="5"/>
  <c r="F39" i="5"/>
  <c r="H17" i="5"/>
  <c r="F41" i="5"/>
  <c r="F43" i="5"/>
  <c r="D40" i="5"/>
  <c r="E39" i="6" s="1"/>
  <c r="C40" i="5"/>
  <c r="E43" i="6" s="1"/>
  <c r="E40" i="5"/>
  <c r="E41" i="6" s="1"/>
  <c r="D47" i="5"/>
  <c r="J19" i="6" s="1"/>
  <c r="E42" i="5"/>
  <c r="J41" i="6" s="1"/>
  <c r="D42" i="5"/>
  <c r="J39" i="6" s="1"/>
  <c r="C42" i="5"/>
  <c r="J43" i="6" s="1"/>
  <c r="E16" i="4"/>
  <c r="E17" i="6"/>
  <c r="E9" i="6"/>
  <c r="H23" i="5"/>
  <c r="H22" i="5"/>
  <c r="E51" i="4"/>
  <c r="C26" i="5"/>
  <c r="J45" i="6" s="1"/>
  <c r="C28" i="5"/>
  <c r="F25" i="1"/>
  <c r="F26" i="1"/>
  <c r="K28" i="1"/>
  <c r="F41" i="1"/>
  <c r="F33" i="1"/>
  <c r="F28" i="1"/>
  <c r="F40" i="1"/>
  <c r="F29" i="1"/>
  <c r="E18" i="4" l="1"/>
  <c r="N13" i="5"/>
  <c r="N12" i="5"/>
  <c r="N3" i="5"/>
  <c r="D31" i="5" s="1"/>
  <c r="E45" i="6" l="1"/>
  <c r="K29" i="1"/>
  <c r="E63" i="4"/>
  <c r="E10" i="4"/>
  <c r="E61" i="4"/>
  <c r="C91" i="2" l="1"/>
  <c r="C58" i="5" s="1"/>
  <c r="G6" i="1" s="1"/>
</calcChain>
</file>

<file path=xl/sharedStrings.xml><?xml version="1.0" encoding="utf-8"?>
<sst xmlns="http://schemas.openxmlformats.org/spreadsheetml/2006/main" count="522" uniqueCount="471">
  <si>
    <t>Loading Type</t>
  </si>
  <si>
    <t>SU4</t>
  </si>
  <si>
    <t>SU5</t>
  </si>
  <si>
    <t>SU6</t>
  </si>
  <si>
    <t>SU7</t>
  </si>
  <si>
    <t>HS20 Loading</t>
  </si>
  <si>
    <t>BRIDGE LOAD RATING SUMMARY REPORT</t>
  </si>
  <si>
    <t>OFFICE OF STRUCTURAL ENGINEERING</t>
  </si>
  <si>
    <t>OHIO DEPARTMENT OF TRANSPORTATION</t>
  </si>
  <si>
    <t>SFN</t>
  </si>
  <si>
    <t>BRIDGE NUMBER</t>
  </si>
  <si>
    <t>DISTRICT</t>
  </si>
  <si>
    <t>REHABILITATION YEAR</t>
  </si>
  <si>
    <t>LOAD RATING PURPOSE:</t>
  </si>
  <si>
    <t>LOAD RATING SOFTWARE:</t>
  </si>
  <si>
    <t>RATING SOURCE:</t>
  </si>
  <si>
    <t>ORIGINAL DESIGN LOADING:</t>
  </si>
  <si>
    <t>PLEASE SELECT ON RIGHT, WHERE APPROPRIATE, BY USING THE DROP DOWN ARROW BUTTON</t>
  </si>
  <si>
    <t>STRUCTURE RATING SUMMARY</t>
  </si>
  <si>
    <t>County Number</t>
  </si>
  <si>
    <t>County</t>
  </si>
  <si>
    <t>Abbr.</t>
  </si>
  <si>
    <t>District</t>
  </si>
  <si>
    <t>Adams</t>
  </si>
  <si>
    <t>Allen</t>
  </si>
  <si>
    <t>Ashland</t>
  </si>
  <si>
    <t>Athens</t>
  </si>
  <si>
    <t>Auglaize</t>
  </si>
  <si>
    <t>Belmont</t>
  </si>
  <si>
    <t>Brown</t>
  </si>
  <si>
    <t>Bulter</t>
  </si>
  <si>
    <t>Ashtabula</t>
  </si>
  <si>
    <t>Carroll</t>
  </si>
  <si>
    <t>Champaign</t>
  </si>
  <si>
    <t>Clark</t>
  </si>
  <si>
    <t>Clermont</t>
  </si>
  <si>
    <t>Clinton</t>
  </si>
  <si>
    <t>Columbia</t>
  </si>
  <si>
    <t>ADA</t>
  </si>
  <si>
    <t>ALL</t>
  </si>
  <si>
    <t>ASD</t>
  </si>
  <si>
    <t>ATB</t>
  </si>
  <si>
    <t>ATH</t>
  </si>
  <si>
    <t>AUG</t>
  </si>
  <si>
    <t>BEL</t>
  </si>
  <si>
    <t>BRO</t>
  </si>
  <si>
    <t>BUT</t>
  </si>
  <si>
    <t>CAR</t>
  </si>
  <si>
    <t>CHP</t>
  </si>
  <si>
    <t>CLA</t>
  </si>
  <si>
    <t>CLE</t>
  </si>
  <si>
    <t>CLI</t>
  </si>
  <si>
    <t>COL</t>
  </si>
  <si>
    <t>COS</t>
  </si>
  <si>
    <t>CRA</t>
  </si>
  <si>
    <t>CUY</t>
  </si>
  <si>
    <t>DAR</t>
  </si>
  <si>
    <t>DEF</t>
  </si>
  <si>
    <t>DEL</t>
  </si>
  <si>
    <t>ERI</t>
  </si>
  <si>
    <t>FAI</t>
  </si>
  <si>
    <t>FAY</t>
  </si>
  <si>
    <t>FRA</t>
  </si>
  <si>
    <t>FUL</t>
  </si>
  <si>
    <t>GAL</t>
  </si>
  <si>
    <t>GEA</t>
  </si>
  <si>
    <t>GRE</t>
  </si>
  <si>
    <t>GUE</t>
  </si>
  <si>
    <t>HAM</t>
  </si>
  <si>
    <t>HAN</t>
  </si>
  <si>
    <t>HAR</t>
  </si>
  <si>
    <t>HAS</t>
  </si>
  <si>
    <t>HEN</t>
  </si>
  <si>
    <t>HIG</t>
  </si>
  <si>
    <t>HOC</t>
  </si>
  <si>
    <t>HOL</t>
  </si>
  <si>
    <t>HUR</t>
  </si>
  <si>
    <t>JAC</t>
  </si>
  <si>
    <t>JEF</t>
  </si>
  <si>
    <t>KNO</t>
  </si>
  <si>
    <t>LAK</t>
  </si>
  <si>
    <t>LAW</t>
  </si>
  <si>
    <t>LIC</t>
  </si>
  <si>
    <t>LOG</t>
  </si>
  <si>
    <t>LOR</t>
  </si>
  <si>
    <t>LUC</t>
  </si>
  <si>
    <t>MAD</t>
  </si>
  <si>
    <t>MAH</t>
  </si>
  <si>
    <t>MAR</t>
  </si>
  <si>
    <t>MED</t>
  </si>
  <si>
    <t>MEG</t>
  </si>
  <si>
    <t>MER</t>
  </si>
  <si>
    <t>MIA</t>
  </si>
  <si>
    <t>MOE</t>
  </si>
  <si>
    <t>MOT</t>
  </si>
  <si>
    <t>MRG</t>
  </si>
  <si>
    <t>MRW</t>
  </si>
  <si>
    <t>MUS</t>
  </si>
  <si>
    <t>NOB</t>
  </si>
  <si>
    <t>OTT</t>
  </si>
  <si>
    <t>PAU</t>
  </si>
  <si>
    <t>PER</t>
  </si>
  <si>
    <t>PIC</t>
  </si>
  <si>
    <t>PIK</t>
  </si>
  <si>
    <t>POR</t>
  </si>
  <si>
    <t>PRE</t>
  </si>
  <si>
    <t>PUT</t>
  </si>
  <si>
    <t>RIC</t>
  </si>
  <si>
    <t>ROS</t>
  </si>
  <si>
    <t>SAN</t>
  </si>
  <si>
    <t>SCI</t>
  </si>
  <si>
    <t>SEN</t>
  </si>
  <si>
    <t>SHE</t>
  </si>
  <si>
    <t>STA</t>
  </si>
  <si>
    <t>SUM</t>
  </si>
  <si>
    <t>TRU</t>
  </si>
  <si>
    <t>TUS</t>
  </si>
  <si>
    <t>UNI</t>
  </si>
  <si>
    <t>VAN</t>
  </si>
  <si>
    <t>VIN</t>
  </si>
  <si>
    <t>WAR</t>
  </si>
  <si>
    <t>WAS</t>
  </si>
  <si>
    <t>WAY</t>
  </si>
  <si>
    <t>WIL</t>
  </si>
  <si>
    <t>WOO</t>
  </si>
  <si>
    <t>GVW (Tons)</t>
  </si>
  <si>
    <t>OVERALL STRUCTURE LENGTH</t>
  </si>
  <si>
    <t>1 - Initial Load Rating</t>
  </si>
  <si>
    <t>2 - Rehabilitation</t>
  </si>
  <si>
    <t>3 - Dead Load Changed</t>
  </si>
  <si>
    <t>4 - Wearing Surface Added</t>
  </si>
  <si>
    <t>6 - Damage</t>
  </si>
  <si>
    <t>7 - Not Applicable</t>
  </si>
  <si>
    <t>8 - Update Analysis Model and Software</t>
  </si>
  <si>
    <t>1 - BARS</t>
  </si>
  <si>
    <t>2 - BRASS</t>
  </si>
  <si>
    <t>0 - No Plans or information available for load rating analysis</t>
  </si>
  <si>
    <t>2 - Field measured information for load rating analysis</t>
  </si>
  <si>
    <t>N- Not Applicable</t>
  </si>
  <si>
    <t>X - Not Applicable (RR bridges, buildings, Non-highway, etc.)</t>
  </si>
  <si>
    <t>1 - H10</t>
  </si>
  <si>
    <t>2 - H15</t>
  </si>
  <si>
    <t>3 - HS15</t>
  </si>
  <si>
    <t>4 - H20</t>
  </si>
  <si>
    <t>5 - HS20</t>
  </si>
  <si>
    <t>6 - HS20-44 &amp; Alternate Military Loading</t>
  </si>
  <si>
    <t>Load Rating Purpose</t>
  </si>
  <si>
    <t>RATING METHOD:</t>
  </si>
  <si>
    <t>SPECIALIZED HAULING VEHICLES (SHV)</t>
  </si>
  <si>
    <t>HL93 Loading</t>
  </si>
  <si>
    <t>N/A</t>
  </si>
  <si>
    <t>SPECIAL ASSUMPTIONS &amp; COMMENTS</t>
  </si>
  <si>
    <t>5C1</t>
  </si>
  <si>
    <t>RF</t>
  </si>
  <si>
    <t>Sign Posting Recommendation:</t>
  </si>
  <si>
    <t>6+</t>
  </si>
  <si>
    <t>Legal Weight (Tons)</t>
  </si>
  <si>
    <t>3 - Field testing information (Non-destructive)</t>
  </si>
  <si>
    <t>#709 - Rating Source</t>
  </si>
  <si>
    <t>#63 &amp; 65 - Method of Rating</t>
  </si>
  <si>
    <t>7 - Pedestrian</t>
  </si>
  <si>
    <t>8 - Railroad</t>
  </si>
  <si>
    <t>9 - HS25 or Greater</t>
  </si>
  <si>
    <t>A - HL93</t>
  </si>
  <si>
    <t>C - Other (includes railroad bridges w/track removed)</t>
  </si>
  <si>
    <t>0 - Unknown</t>
  </si>
  <si>
    <t>B - Greater than HL93</t>
  </si>
  <si>
    <t>#31 - Original Design Load</t>
  </si>
  <si>
    <t>3 - AASHTO  BrR (VIRTIS)</t>
  </si>
  <si>
    <t>4 - Testing</t>
  </si>
  <si>
    <t>5 - Finite Element (FE) Program</t>
  </si>
  <si>
    <t>6 - In-House Program/Spreadsheet</t>
  </si>
  <si>
    <t>7 - Combination</t>
  </si>
  <si>
    <t>8 - Other program</t>
  </si>
  <si>
    <t>9 - Manual Calculations</t>
  </si>
  <si>
    <t>0 - Assigned rating (No calculations were done)</t>
  </si>
  <si>
    <t>X - Not Applicable</t>
  </si>
  <si>
    <t>#708 - Load Rating Software</t>
  </si>
  <si>
    <t xml:space="preserve">Rating Reported by </t>
  </si>
  <si>
    <t>Rating Vehicle</t>
  </si>
  <si>
    <t>Rating Type</t>
  </si>
  <si>
    <t>6 - Load Factor (LF) rating reported by rating factor (RF)</t>
  </si>
  <si>
    <t>7 - Allowable Stress (AS) rating reported by rating factor (RF)</t>
  </si>
  <si>
    <t>8 - Load &amp; Resistance Factor Rating (LRFR) reported by rating factor (RF)</t>
  </si>
  <si>
    <t>*This document is locked to prevent accidental changes, No password is required to unlock.</t>
  </si>
  <si>
    <t>Bridge Posting:</t>
  </si>
  <si>
    <t>#70 - Bridge Posting</t>
  </si>
  <si>
    <t>5 - Equal to or above legal loads</t>
  </si>
  <si>
    <t>#41 - Open, Posted or Closed</t>
  </si>
  <si>
    <t>A - Open, No Restriction</t>
  </si>
  <si>
    <t>B - Open, Posting Recommended</t>
  </si>
  <si>
    <t>D - Open to Allow Unrestricted Traffic</t>
  </si>
  <si>
    <t>E - Open, Temporary Structure in Place</t>
  </si>
  <si>
    <t>K - Bridge Closed to All Traffic</t>
  </si>
  <si>
    <t>P - Posted for Load-Carrying Restriction</t>
  </si>
  <si>
    <t>X - Bridge Closed for Other Reasons</t>
  </si>
  <si>
    <t>#711 - Live Load Response</t>
  </si>
  <si>
    <t>S - Satisfactory</t>
  </si>
  <si>
    <t>E - Excessive</t>
  </si>
  <si>
    <t>G - New Structure Not Yet Open to Traffic</t>
  </si>
  <si>
    <t>R - Posted for Other Reasons</t>
  </si>
  <si>
    <t>C - Open, Half-Width construction</t>
  </si>
  <si>
    <t>Vehicle</t>
  </si>
  <si>
    <t>D - Assigned rating based on Load Factor Rating (RF)</t>
  </si>
  <si>
    <t>E - Assigned rating based on Allowable Stress (RF)</t>
  </si>
  <si>
    <t>F - Assigned Load &amp; Resistance Factor Rating (LRFR) using HL93 loadings (RF)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</si>
  <si>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</si>
  <si>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</si>
  <si>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</si>
  <si>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</si>
  <si>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</si>
  <si>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</si>
  <si>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</si>
  <si>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</si>
  <si>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</si>
  <si>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</si>
  <si>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</si>
  <si>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</si>
  <si>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</si>
  <si>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</t>
  </si>
  <si>
    <t>Guernsey</t>
  </si>
  <si>
    <t>Hamilton</t>
  </si>
  <si>
    <t>Hancock</t>
  </si>
  <si>
    <t>Harrison</t>
  </si>
  <si>
    <t>Harden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</si>
  <si>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</si>
  <si>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</si>
  <si>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</si>
  <si>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</si>
  <si>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</si>
  <si>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</si>
  <si>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</si>
  <si>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</si>
  <si>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</si>
  <si>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</si>
  <si>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</si>
  <si>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</si>
  <si>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</si>
  <si>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</si>
  <si>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</si>
  <si>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</si>
  <si>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</si>
  <si>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</si>
  <si>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</si>
  <si>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</si>
  <si>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</si>
  <si>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</si>
  <si>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</si>
  <si>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</si>
  <si>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</si>
  <si>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Muckingum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</si>
  <si>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</si>
  <si>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</si>
  <si>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</si>
  <si>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</si>
  <si>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</si>
  <si>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</si>
  <si>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</si>
  <si>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</si>
  <si>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</si>
  <si>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</si>
  <si>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</si>
  <si>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</si>
  <si>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</si>
  <si>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</si>
  <si>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</si>
  <si>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</si>
  <si>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</si>
  <si>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</si>
  <si>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</si>
  <si>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</si>
  <si>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</si>
  <si>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</si>
  <si>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</si>
  <si>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</si>
  <si>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</si>
  <si>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</si>
  <si>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</si>
  <si>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</si>
  <si>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FEATURE INTERSECTED</t>
  </si>
  <si>
    <t>AGENCY/FIRM/OFFICE</t>
  </si>
  <si>
    <t>Operating</t>
  </si>
  <si>
    <t>OHIO LEGAL VEHICLES</t>
  </si>
  <si>
    <t>Inventory</t>
  </si>
  <si>
    <t>DESIGN VEHICLE</t>
  </si>
  <si>
    <t>AXLE</t>
  </si>
  <si>
    <t>WEIGHT LIMIT          SINGLE UNIT</t>
  </si>
  <si>
    <t>Design Inv.</t>
  </si>
  <si>
    <t>Design Oper.</t>
  </si>
  <si>
    <t>GVW (TONS)</t>
  </si>
  <si>
    <t>Require Posting?</t>
  </si>
  <si>
    <t>Post for Legal Loads -</t>
  </si>
  <si>
    <t>Post for EV's -</t>
  </si>
  <si>
    <t>Bridge Closure -</t>
  </si>
  <si>
    <t>Posting/Closure Check by Weight</t>
  </si>
  <si>
    <t>Overall Posting Rating =</t>
  </si>
  <si>
    <t>Posting Recommendations =</t>
  </si>
  <si>
    <t>Check Box</t>
  </si>
  <si>
    <t>Blank Sign</t>
  </si>
  <si>
    <t>EV Sign</t>
  </si>
  <si>
    <t>Sign Selection =</t>
  </si>
  <si>
    <t>Closure Sign</t>
  </si>
  <si>
    <t>Design Inv. =</t>
  </si>
  <si>
    <t>Design Oper. =</t>
  </si>
  <si>
    <t>Is Error =</t>
  </si>
  <si>
    <t>Overall Percent Legal =</t>
  </si>
  <si>
    <t>Live Load Response =</t>
  </si>
  <si>
    <t>Entered Manually</t>
  </si>
  <si>
    <t>Check for Manually Entered Data</t>
  </si>
  <si>
    <t>Sign</t>
  </si>
  <si>
    <t>Recommendation</t>
  </si>
  <si>
    <t>Disabled</t>
  </si>
  <si>
    <t>Manual</t>
  </si>
  <si>
    <t>Check box for Manual Sign</t>
  </si>
  <si>
    <t>Recommend Bridge Closure At =</t>
  </si>
  <si>
    <t>LegalSign</t>
  </si>
  <si>
    <t>*Error if Design Inv. is &gt; Design Oper.</t>
  </si>
  <si>
    <t>2F1</t>
  </si>
  <si>
    <t>3F1</t>
  </si>
  <si>
    <t>4F1</t>
  </si>
  <si>
    <t xml:space="preserve"> -minimum of 3F1 and EV3 will be included in the Weight Limit sign for "3 AXLE"</t>
  </si>
  <si>
    <t xml:space="preserve"> -minimum of 2F1 and EV2 will be included in the Weight Limit sign for "2 AXLE"</t>
  </si>
  <si>
    <t>Legal Weight (TONS)</t>
  </si>
  <si>
    <t>0 - Field Evaluation and Documented Engineering (Tons)</t>
  </si>
  <si>
    <t>Tons</t>
  </si>
  <si>
    <t>4 - Load Testing Reports (Tons)</t>
  </si>
  <si>
    <t>5 - No Rating Analysis or Evaluation Performed (Tons)</t>
  </si>
  <si>
    <t xml:space="preserve">Operating Rating </t>
  </si>
  <si>
    <t>Recommend Posting Below =</t>
  </si>
  <si>
    <t>5 - Deterioration or GA Dropped Below 5</t>
  </si>
  <si>
    <t>1 - Plan information available for load rating analysis</t>
  </si>
  <si>
    <t>LATITUDE:</t>
  </si>
  <si>
    <t>LONGITUDE:</t>
  </si>
  <si>
    <t>Latitude</t>
  </si>
  <si>
    <t>Longitude</t>
  </si>
  <si>
    <t>Decimal Conversion</t>
  </si>
  <si>
    <t>From BR-100</t>
  </si>
  <si>
    <t>Is Text</t>
  </si>
  <si>
    <t>For Map</t>
  </si>
  <si>
    <t>Map HTML Link</t>
  </si>
  <si>
    <t>XX XX' XX.XX"</t>
  </si>
  <si>
    <t>XX.XXXXXX</t>
  </si>
  <si>
    <t>WEIGHT LIMIT</t>
  </si>
  <si>
    <t>EMERGENCY VEHICLE</t>
  </si>
  <si>
    <t xml:space="preserve">  2 AXLE</t>
  </si>
  <si>
    <t xml:space="preserve">  3 AXLE</t>
  </si>
  <si>
    <t>EMERGENCY VEHICLES (EV)</t>
  </si>
  <si>
    <t>Check Box for NBI =</t>
  </si>
  <si>
    <t>Latitude Longitude</t>
  </si>
  <si>
    <t>Overall Legal Posting Rating</t>
  </si>
  <si>
    <t xml:space="preserve">Posting Recommendation </t>
  </si>
  <si>
    <t>If NBI check box is checked:</t>
  </si>
  <si>
    <t xml:space="preserve">Check box if this is an NBI bridge       </t>
  </si>
  <si>
    <t>LOAD RATING PURPOSE :</t>
  </si>
  <si>
    <t>GENERAL APPRAISAL (0-9) :</t>
  </si>
  <si>
    <t>SOFTWARE VERSION :</t>
  </si>
  <si>
    <t>Report Date</t>
  </si>
  <si>
    <t>Phone Number:</t>
  </si>
  <si>
    <t>PE Number:</t>
  </si>
  <si>
    <t>Email:</t>
  </si>
  <si>
    <t>Name:</t>
  </si>
  <si>
    <t>Rated By</t>
  </si>
  <si>
    <t>Reviewed By</t>
  </si>
  <si>
    <r>
      <rPr>
        <b/>
        <i/>
        <sz val="10"/>
        <color theme="1"/>
        <rFont val="Calibri"/>
        <family val="2"/>
        <scheme val="minor"/>
      </rPr>
      <t>(708)</t>
    </r>
    <r>
      <rPr>
        <b/>
        <sz val="10"/>
        <color theme="1"/>
        <rFont val="Calibri"/>
        <family val="2"/>
        <scheme val="minor"/>
      </rPr>
      <t>LOAD RATING SOFTWARE :</t>
    </r>
  </si>
  <si>
    <r>
      <rPr>
        <b/>
        <i/>
        <sz val="10"/>
        <color theme="1"/>
        <rFont val="Calibri"/>
        <family val="2"/>
        <scheme val="minor"/>
      </rPr>
      <t xml:space="preserve"> (709)</t>
    </r>
    <r>
      <rPr>
        <b/>
        <sz val="10"/>
        <color theme="1"/>
        <rFont val="Calibri"/>
        <family val="2"/>
        <scheme val="minor"/>
      </rPr>
      <t>RATING SOURCE :</t>
    </r>
  </si>
  <si>
    <r>
      <rPr>
        <b/>
        <i/>
        <sz val="10"/>
        <color theme="1"/>
        <rFont val="Calibri"/>
        <family val="2"/>
        <scheme val="minor"/>
      </rPr>
      <t>(63)(65)</t>
    </r>
    <r>
      <rPr>
        <b/>
        <sz val="10"/>
        <color theme="1"/>
        <rFont val="Calibri"/>
        <family val="2"/>
        <scheme val="minor"/>
      </rPr>
      <t>RATING METHOD :</t>
    </r>
  </si>
  <si>
    <t>Revision Notes:</t>
  </si>
  <si>
    <t>Rearranged signature block and added space for PE stamp</t>
  </si>
  <si>
    <t>added "To be determined by inspection" to the GA drop down</t>
  </si>
  <si>
    <t>GPS COORDINATES</t>
  </si>
  <si>
    <t xml:space="preserve">ORIGINAL </t>
  </si>
  <si>
    <t>CONSTRUCTION YEAR</t>
  </si>
  <si>
    <t>Moved GPS Coordinates to print area</t>
  </si>
  <si>
    <t>(31) ORIGINAL DESIGN LOADING :</t>
  </si>
  <si>
    <t>Load Rating and Posting</t>
  </si>
  <si>
    <t>Load Rating</t>
  </si>
  <si>
    <t>Presets</t>
  </si>
  <si>
    <t>Vehicle Table and Rating Factors</t>
  </si>
  <si>
    <t>Posting Sign Section</t>
  </si>
  <si>
    <t>BRIDGE          CLOSED</t>
  </si>
  <si>
    <t>Rating Date</t>
  </si>
  <si>
    <t>Added slight tint to posting sign</t>
  </si>
  <si>
    <t>Moved all caculations to the "Calcs &amp; Signs" sheet</t>
  </si>
  <si>
    <t>District Lookup</t>
  </si>
  <si>
    <t xml:space="preserve">District </t>
  </si>
  <si>
    <t>Posting Status</t>
  </si>
  <si>
    <t>Inv vs Oper Check</t>
  </si>
  <si>
    <t>Reporting Units =</t>
  </si>
  <si>
    <t>Controlling PE</t>
  </si>
  <si>
    <t>Rater</t>
  </si>
  <si>
    <t>Reviewer</t>
  </si>
  <si>
    <t>PE</t>
  </si>
  <si>
    <t>Use Only of These Formats For GPS</t>
  </si>
  <si>
    <t>Last</t>
  </si>
  <si>
    <t>Middle</t>
  </si>
  <si>
    <t>First</t>
  </si>
  <si>
    <t>Reported for SMS</t>
  </si>
  <si>
    <t xml:space="preserve">Modified logic to prevent vehicle with less axles having a higher legal weight </t>
  </si>
  <si>
    <t>Legal Posting Weight (TONS)</t>
  </si>
  <si>
    <t>Governing Member (s)</t>
  </si>
  <si>
    <t>%</t>
  </si>
  <si>
    <t>Ohio Percent Legal:</t>
  </si>
  <si>
    <t>Posting Required by Rating:</t>
  </si>
  <si>
    <t>Ohio Legal Load 6, Rating Factor:</t>
  </si>
  <si>
    <t>Ohio Legal Load 3, Rating Factor:</t>
  </si>
  <si>
    <t>tons</t>
  </si>
  <si>
    <t>Ohio Legal Load 6, GVW:</t>
  </si>
  <si>
    <t>Ohio Legal Load 3, GVW:</t>
  </si>
  <si>
    <t>Ohio Legal Load 6:</t>
  </si>
  <si>
    <t>Ohio Legal Load 3:</t>
  </si>
  <si>
    <t>Ohio Legal Load 5, Rating Factor:</t>
  </si>
  <si>
    <t>Ohio Legal Load 2, Rating Factor:</t>
  </si>
  <si>
    <t>Ohio Legal Load 5, GVW:</t>
  </si>
  <si>
    <t>Ohio Legal Load 2, GVW:</t>
  </si>
  <si>
    <t>Ohio Legal Load 5:</t>
  </si>
  <si>
    <t>Ohio Legal Load 2:</t>
  </si>
  <si>
    <t>Ohio Legal Load 4, Rating Factor:</t>
  </si>
  <si>
    <t>Ohio Legal Load 1, Rating Factor:</t>
  </si>
  <si>
    <t>Ohio Legal Load 4, GVW:</t>
  </si>
  <si>
    <t>Ohio Legal Load 1, GVW:</t>
  </si>
  <si>
    <t>Ohio Legal Load 4:</t>
  </si>
  <si>
    <t>Ohio Legal Load 1:</t>
  </si>
  <si>
    <t>OHIO LEGAL LOADS</t>
  </si>
  <si>
    <t>**DO NOT modify this field at this location in SMS.  Based on inspection ONLY.</t>
  </si>
  <si>
    <t>**Open, Posted or Closed:</t>
  </si>
  <si>
    <t>Live Load Response:</t>
  </si>
  <si>
    <t>Inventory Rating Load:</t>
  </si>
  <si>
    <t>Rating Source:</t>
  </si>
  <si>
    <t>Inventory Rating Factor:</t>
  </si>
  <si>
    <t>Load Rating Software:</t>
  </si>
  <si>
    <t>Inventory Rating Method:</t>
  </si>
  <si>
    <t>Load Rater Ohio PE Number:</t>
  </si>
  <si>
    <t>Operating Rating Load GVW:</t>
  </si>
  <si>
    <t>Load Rater Last Name:</t>
  </si>
  <si>
    <t>Operating Rating Load:</t>
  </si>
  <si>
    <t>Load Rater First Name:</t>
  </si>
  <si>
    <t>Operating Rating Factor:</t>
  </si>
  <si>
    <t>Load Rating Date:</t>
  </si>
  <si>
    <t>Operation Rating Method:</t>
  </si>
  <si>
    <t>Inventory Rating Load GVW:</t>
  </si>
  <si>
    <t>Design Load:</t>
  </si>
  <si>
    <t>LOAD RATING</t>
  </si>
  <si>
    <t>SMS Input Data</t>
  </si>
  <si>
    <t>SMS Posting Table</t>
  </si>
  <si>
    <t>GVW</t>
  </si>
  <si>
    <t>Legal Weight</t>
  </si>
  <si>
    <t>2 Axle</t>
  </si>
  <si>
    <t>3 Axle</t>
  </si>
  <si>
    <t>4 Axle</t>
  </si>
  <si>
    <t xml:space="preserve"> *Lower Legal Weight of 4F1 and SU4, if equal select 4F1</t>
  </si>
  <si>
    <t>5 Axle</t>
  </si>
  <si>
    <t>6 &amp; 7 Axle</t>
  </si>
  <si>
    <t xml:space="preserve"> *Lower Legal Weight of SU6 and SU7, if equal select SU6</t>
  </si>
  <si>
    <t>By Inspection</t>
  </si>
  <si>
    <t>Added Posting Recommendation note for Manual sign Override</t>
  </si>
  <si>
    <t xml:space="preserve"> </t>
  </si>
  <si>
    <t>00 00' 00.00"</t>
  </si>
  <si>
    <t>Structure Inventory and Appraisal / National Bridge Inventory</t>
  </si>
  <si>
    <t>Structure Inventory and Appraisal / Ohio Bridge Inventory</t>
  </si>
  <si>
    <t>Added "AssetWise Coding Input" sheet for future SMS Update to AssetWise system (hidden)</t>
  </si>
  <si>
    <t>Unhide "AssetWise Coding Input" sheet and hid "SMS Coding Input"</t>
  </si>
  <si>
    <t>AssetWise Input</t>
  </si>
  <si>
    <t>Design</t>
  </si>
  <si>
    <t>Index</t>
  </si>
  <si>
    <t>0 - More than 39.9% below legal loads (0 tons)</t>
  </si>
  <si>
    <t>1 - 30.0-39.9% below legal loads (1-2 tons)</t>
  </si>
  <si>
    <t>2 - 20.0-29.9% below legal loads (3-5 tons)</t>
  </si>
  <si>
    <t>3 - 10-19.9% below legal loads (6-10 tons)</t>
  </si>
  <si>
    <t>4 - 0.1-9.9% below legal loads (11-15 tons)</t>
  </si>
  <si>
    <t xml:space="preserve">BR-100  (12/20) </t>
  </si>
  <si>
    <t>Minor formatting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</si>
</sst>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0\ \f\t"/>
    <numFmt numFmtId="166" formatCode="0000000"/>
    <numFmt numFmtId="167" formatCode="0\ &quot; T&quot;"/>
    <numFmt numFmtId="168" formatCode="[hh]\°mm\'ss.00\&quot;"/>
    <numFmt numFmtId="169" formatCode="0\ &quot;T &quot;"/>
    <numFmt numFmtId="170" formatCode="mm/dd/yy;@"/>
    <numFmt numFmtId="171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55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0" fontId="8" fillId="0" borderId="1" xfId="0" applyFont="1" applyFill="1" applyBorder="1"/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2" borderId="49" xfId="0" applyFill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Alignment="1" applyProtection="1">
      <alignment vertical="top"/>
    </xf>
    <xf numFmtId="0" fontId="0" fillId="4" borderId="18" xfId="0" applyFill="1" applyBorder="1" applyAlignment="1" applyProtection="1">
      <alignment vertical="center"/>
    </xf>
    <xf numFmtId="0" fontId="0" fillId="4" borderId="0" xfId="0" applyFill="1" applyBorder="1" applyAlignment="1" applyProtection="1">
      <alignment horizontal="right" vertical="center"/>
    </xf>
    <xf numFmtId="0" fontId="0" fillId="4" borderId="0" xfId="0" applyFill="1" applyBorder="1" applyAlignment="1" applyProtection="1">
      <alignment vertical="center"/>
    </xf>
    <xf numFmtId="0" fontId="0" fillId="4" borderId="16" xfId="0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0" fontId="0" fillId="4" borderId="19" xfId="0" applyFill="1" applyBorder="1" applyAlignment="1" applyProtection="1">
      <alignment vertical="center"/>
    </xf>
    <xf numFmtId="0" fontId="0" fillId="4" borderId="21" xfId="0" applyFill="1" applyBorder="1" applyAlignment="1" applyProtection="1">
      <alignment vertical="center"/>
    </xf>
    <xf numFmtId="0" fontId="0" fillId="2" borderId="25" xfId="0" applyFill="1" applyBorder="1" applyAlignment="1" applyProtection="1">
      <alignment horizontal="left"/>
    </xf>
    <xf numFmtId="0" fontId="0" fillId="2" borderId="24" xfId="0" applyFill="1" applyBorder="1" applyProtection="1"/>
    <xf numFmtId="0" fontId="0" fillId="2" borderId="26" xfId="0" applyFill="1" applyBorder="1" applyAlignment="1" applyProtection="1">
      <alignment horizontal="right"/>
    </xf>
    <xf numFmtId="2" fontId="0" fillId="2" borderId="25" xfId="0" applyNumberFormat="1" applyFill="1" applyBorder="1" applyAlignment="1" applyProtection="1">
      <alignment horizontal="left"/>
    </xf>
    <xf numFmtId="0" fontId="0" fillId="2" borderId="23" xfId="0" applyFill="1" applyBorder="1" applyAlignment="1" applyProtection="1"/>
    <xf numFmtId="0" fontId="9" fillId="2" borderId="23" xfId="0" applyFont="1" applyFill="1" applyBorder="1" applyAlignment="1" applyProtection="1">
      <alignment vertical="center" wrapText="1"/>
    </xf>
    <xf numFmtId="0" fontId="0" fillId="0" borderId="54" xfId="0" applyBorder="1" applyAlignment="1" applyProtection="1">
      <alignment horizontal="center"/>
    </xf>
    <xf numFmtId="0" fontId="0" fillId="0" borderId="20" xfId="0" applyBorder="1" applyProtection="1"/>
    <xf numFmtId="0" fontId="0" fillId="0" borderId="31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2" borderId="22" xfId="0" applyFill="1" applyBorder="1" applyProtection="1"/>
    <xf numFmtId="0" fontId="0" fillId="0" borderId="31" xfId="0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33" xfId="0" applyBorder="1" applyAlignment="1" applyProtection="1">
      <alignment horizontal="center"/>
    </xf>
    <xf numFmtId="164" fontId="0" fillId="0" borderId="34" xfId="0" applyNumberForma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0" fillId="2" borderId="18" xfId="0" applyFill="1" applyBorder="1" applyAlignment="1" applyProtection="1">
      <alignment horizontal="right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vertical="center"/>
    </xf>
    <xf numFmtId="0" fontId="0" fillId="2" borderId="40" xfId="0" applyFill="1" applyBorder="1" applyAlignment="1" applyProtection="1">
      <alignment horizontal="right" vertical="center"/>
    </xf>
    <xf numFmtId="0" fontId="0" fillId="2" borderId="38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48" xfId="0" applyFill="1" applyBorder="1" applyAlignment="1" applyProtection="1">
      <alignment vertical="center"/>
    </xf>
    <xf numFmtId="0" fontId="0" fillId="0" borderId="24" xfId="0" applyBorder="1" applyProtection="1"/>
    <xf numFmtId="164" fontId="0" fillId="0" borderId="26" xfId="0" applyNumberFormat="1" applyBorder="1" applyAlignment="1" applyProtection="1">
      <alignment horizontal="left"/>
    </xf>
    <xf numFmtId="0" fontId="0" fillId="0" borderId="26" xfId="0" applyBorder="1" applyProtection="1"/>
    <xf numFmtId="0" fontId="0" fillId="0" borderId="25" xfId="0" applyBorder="1" applyProtection="1"/>
    <xf numFmtId="164" fontId="0" fillId="2" borderId="20" xfId="0" applyNumberForma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Protection="1"/>
    <xf numFmtId="0" fontId="0" fillId="2" borderId="18" xfId="0" applyFill="1" applyBorder="1" applyAlignment="1" applyProtection="1">
      <alignment horizontal="right"/>
    </xf>
    <xf numFmtId="164" fontId="0" fillId="2" borderId="16" xfId="0" applyNumberFormat="1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right"/>
    </xf>
    <xf numFmtId="164" fontId="0" fillId="2" borderId="21" xfId="0" applyNumberFormat="1" applyFill="1" applyBorder="1" applyAlignment="1" applyProtection="1">
      <alignment horizontal="left"/>
    </xf>
    <xf numFmtId="164" fontId="0" fillId="2" borderId="23" xfId="0" applyNumberFormat="1" applyFill="1" applyBorder="1" applyAlignment="1" applyProtection="1">
      <alignment horizontal="left"/>
    </xf>
    <xf numFmtId="0" fontId="0" fillId="0" borderId="28" xfId="0" applyBorder="1" applyProtection="1"/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5" xfId="0" applyBorder="1" applyProtection="1"/>
    <xf numFmtId="0" fontId="0" fillId="0" borderId="34" xfId="0" applyBorder="1" applyProtection="1"/>
    <xf numFmtId="0" fontId="0" fillId="0" borderId="0" xfId="0" applyNumberFormat="1" applyProtection="1"/>
    <xf numFmtId="0" fontId="10" fillId="2" borderId="25" xfId="0" applyFont="1" applyFill="1" applyBorder="1" applyAlignment="1" applyProtection="1"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2" fontId="12" fillId="3" borderId="1" xfId="0" applyNumberFormat="1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2" fillId="6" borderId="31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12" fillId="3" borderId="40" xfId="0" applyFont="1" applyFill="1" applyBorder="1" applyAlignment="1" applyProtection="1">
      <alignment vertical="center"/>
    </xf>
    <xf numFmtId="1" fontId="14" fillId="0" borderId="9" xfId="0" applyNumberFormat="1" applyFont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9" xfId="0" applyNumberFormat="1" applyFont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</xf>
    <xf numFmtId="0" fontId="12" fillId="3" borderId="56" xfId="0" applyFont="1" applyFill="1" applyBorder="1" applyAlignment="1" applyProtection="1">
      <alignment horizontal="center" vertical="center" wrapText="1"/>
    </xf>
    <xf numFmtId="0" fontId="12" fillId="3" borderId="40" xfId="0" applyFont="1" applyFill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2" fontId="12" fillId="3" borderId="3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top"/>
    </xf>
    <xf numFmtId="0" fontId="12" fillId="0" borderId="0" xfId="0" applyFont="1" applyFill="1" applyBorder="1" applyAlignment="1" applyProtection="1">
      <alignment vertical="center" wrapText="1"/>
    </xf>
    <xf numFmtId="165" fontId="12" fillId="0" borderId="0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0" fillId="0" borderId="0" xfId="0" applyAlignment="1" applyProtection="1"/>
    <xf numFmtId="168" fontId="0" fillId="0" borderId="0" xfId="0" applyNumberFormat="1" applyAlignment="1" applyProtection="1">
      <alignment horizontal="center"/>
    </xf>
    <xf numFmtId="0" fontId="0" fillId="2" borderId="0" xfId="0" applyFill="1" applyBorder="1" applyProtection="1"/>
    <xf numFmtId="0" fontId="0" fillId="0" borderId="50" xfId="0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2" borderId="17" xfId="0" applyFill="1" applyBorder="1" applyAlignment="1" applyProtection="1">
      <alignment horizontal="right"/>
    </xf>
    <xf numFmtId="0" fontId="0" fillId="0" borderId="33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2" borderId="26" xfId="0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0" fontId="0" fillId="4" borderId="17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horizontal="right" vertical="center"/>
    </xf>
    <xf numFmtId="0" fontId="0" fillId="4" borderId="22" xfId="0" applyFill="1" applyBorder="1" applyAlignment="1" applyProtection="1">
      <alignment vertical="center"/>
    </xf>
    <xf numFmtId="0" fontId="0" fillId="4" borderId="20" xfId="0" applyFill="1" applyBorder="1" applyAlignment="1" applyProtection="1">
      <alignment vertical="center"/>
    </xf>
    <xf numFmtId="0" fontId="1" fillId="4" borderId="23" xfId="0" applyFont="1" applyFill="1" applyBorder="1" applyAlignment="1" applyProtection="1">
      <alignment horizontal="right" vertical="center"/>
    </xf>
    <xf numFmtId="0" fontId="1" fillId="4" borderId="23" xfId="0" applyFont="1" applyFill="1" applyBorder="1" applyAlignment="1" applyProtection="1">
      <alignment vertical="center"/>
    </xf>
    <xf numFmtId="0" fontId="1" fillId="4" borderId="23" xfId="0" applyFont="1" applyFill="1" applyBorder="1" applyAlignment="1" applyProtection="1">
      <alignment horizontal="left" vertical="center"/>
    </xf>
    <xf numFmtId="0" fontId="0" fillId="4" borderId="23" xfId="0" applyFill="1" applyBorder="1" applyAlignment="1" applyProtection="1">
      <alignment horizontal="left" vertical="center"/>
    </xf>
    <xf numFmtId="0" fontId="1" fillId="4" borderId="0" xfId="0" applyNumberFormat="1" applyFont="1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vertical="center"/>
    </xf>
    <xf numFmtId="0" fontId="11" fillId="0" borderId="23" xfId="0" applyFont="1" applyBorder="1" applyAlignment="1" applyProtection="1">
      <alignment horizontal="center"/>
    </xf>
    <xf numFmtId="0" fontId="0" fillId="4" borderId="0" xfId="0" applyFill="1" applyBorder="1" applyAlignment="1" applyProtection="1">
      <alignment horizontal="left" vertical="center"/>
    </xf>
    <xf numFmtId="0" fontId="0" fillId="4" borderId="15" xfId="0" applyFill="1" applyBorder="1" applyAlignment="1" applyProtection="1">
      <alignment horizontal="left" vertical="center"/>
    </xf>
    <xf numFmtId="0" fontId="11" fillId="0" borderId="23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Alignment="1" applyProtection="1">
      <alignment horizontal="right"/>
    </xf>
    <xf numFmtId="2" fontId="0" fillId="0" borderId="0" xfId="0" applyNumberForma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protection locked="0"/>
    </xf>
    <xf numFmtId="0" fontId="0" fillId="0" borderId="22" xfId="0" applyBorder="1" applyProtection="1"/>
    <xf numFmtId="0" fontId="0" fillId="0" borderId="18" xfId="0" applyBorder="1" applyProtection="1"/>
    <xf numFmtId="0" fontId="0" fillId="0" borderId="16" xfId="0" applyBorder="1" applyProtection="1"/>
    <xf numFmtId="0" fontId="0" fillId="0" borderId="19" xfId="0" applyBorder="1" applyProtection="1"/>
    <xf numFmtId="0" fontId="0" fillId="0" borderId="23" xfId="0" applyBorder="1" applyAlignment="1" applyProtection="1"/>
    <xf numFmtId="0" fontId="0" fillId="0" borderId="23" xfId="0" applyBorder="1" applyProtection="1"/>
    <xf numFmtId="0" fontId="0" fillId="0" borderId="21" xfId="0" applyBorder="1" applyProtection="1"/>
    <xf numFmtId="0" fontId="0" fillId="7" borderId="17" xfId="0" applyFill="1" applyBorder="1" applyProtection="1"/>
    <xf numFmtId="0" fontId="0" fillId="7" borderId="22" xfId="0" applyFill="1" applyBorder="1" applyProtection="1"/>
    <xf numFmtId="0" fontId="0" fillId="7" borderId="20" xfId="0" applyFill="1" applyBorder="1" applyProtection="1"/>
    <xf numFmtId="0" fontId="0" fillId="7" borderId="18" xfId="0" applyFill="1" applyBorder="1" applyProtection="1"/>
    <xf numFmtId="0" fontId="0" fillId="7" borderId="0" xfId="0" applyFill="1" applyBorder="1" applyProtection="1"/>
    <xf numFmtId="0" fontId="0" fillId="7" borderId="16" xfId="0" applyFill="1" applyBorder="1" applyProtection="1"/>
    <xf numFmtId="0" fontId="0" fillId="7" borderId="0" xfId="0" applyFill="1" applyBorder="1" applyAlignment="1" applyProtection="1">
      <alignment horizontal="center"/>
    </xf>
    <xf numFmtId="0" fontId="0" fillId="7" borderId="23" xfId="0" applyFill="1" applyBorder="1" applyAlignment="1" applyProtection="1"/>
    <xf numFmtId="0" fontId="0" fillId="7" borderId="18" xfId="0" applyFill="1" applyBorder="1" applyAlignment="1" applyProtection="1">
      <alignment horizontal="center"/>
    </xf>
    <xf numFmtId="167" fontId="0" fillId="7" borderId="16" xfId="0" applyNumberFormat="1" applyFill="1" applyBorder="1" applyAlignment="1" applyProtection="1">
      <alignment horizontal="center"/>
    </xf>
    <xf numFmtId="167" fontId="0" fillId="7" borderId="16" xfId="0" applyNumberFormat="1" applyFill="1" applyBorder="1" applyAlignment="1" applyProtection="1">
      <alignment horizontal="center"/>
      <protection locked="0"/>
    </xf>
    <xf numFmtId="169" fontId="0" fillId="7" borderId="16" xfId="0" applyNumberFormat="1" applyFill="1" applyBorder="1" applyAlignment="1" applyProtection="1">
      <alignment horizontal="center"/>
    </xf>
    <xf numFmtId="0" fontId="0" fillId="7" borderId="18" xfId="0" applyNumberFormat="1" applyFill="1" applyBorder="1" applyAlignment="1" applyProtection="1">
      <alignment horizontal="center"/>
    </xf>
    <xf numFmtId="0" fontId="0" fillId="7" borderId="19" xfId="0" applyFill="1" applyBorder="1" applyProtection="1"/>
    <xf numFmtId="169" fontId="0" fillId="7" borderId="21" xfId="0" applyNumberFormat="1" applyFill="1" applyBorder="1" applyAlignment="1" applyProtection="1">
      <alignment horizontal="center"/>
    </xf>
    <xf numFmtId="0" fontId="0" fillId="7" borderId="19" xfId="0" applyFill="1" applyBorder="1" applyAlignment="1" applyProtection="1">
      <alignment horizontal="center"/>
    </xf>
    <xf numFmtId="0" fontId="0" fillId="7" borderId="23" xfId="0" applyFill="1" applyBorder="1" applyProtection="1"/>
    <xf numFmtId="167" fontId="0" fillId="7" borderId="21" xfId="0" applyNumberFormat="1" applyFill="1" applyBorder="1" applyAlignment="1" applyProtection="1">
      <alignment horizontal="center"/>
    </xf>
    <xf numFmtId="167" fontId="0" fillId="7" borderId="21" xfId="0" applyNumberFormat="1" applyFill="1" applyBorder="1" applyAlignment="1" applyProtection="1">
      <alignment horizontal="center"/>
      <protection locked="0"/>
    </xf>
    <xf numFmtId="167" fontId="0" fillId="7" borderId="25" xfId="0" applyNumberFormat="1" applyFill="1" applyBorder="1" applyAlignment="1" applyProtection="1">
      <alignment horizontal="center"/>
    </xf>
    <xf numFmtId="167" fontId="0" fillId="7" borderId="25" xfId="0" applyNumberFormat="1" applyFill="1" applyBorder="1" applyAlignment="1" applyProtection="1">
      <alignment horizontal="center"/>
      <protection locked="0"/>
    </xf>
    <xf numFmtId="0" fontId="0" fillId="7" borderId="21" xfId="0" applyFill="1" applyBorder="1" applyProtection="1"/>
    <xf numFmtId="0" fontId="0" fillId="2" borderId="59" xfId="0" applyFill="1" applyBorder="1" applyAlignment="1" applyProtection="1">
      <alignment horizontal="center"/>
    </xf>
    <xf numFmtId="0" fontId="0" fillId="2" borderId="60" xfId="0" applyFill="1" applyBorder="1" applyAlignment="1" applyProtection="1">
      <alignment horizontal="center"/>
    </xf>
    <xf numFmtId="0" fontId="0" fillId="2" borderId="61" xfId="0" applyFill="1" applyBorder="1" applyProtection="1"/>
    <xf numFmtId="0" fontId="0" fillId="2" borderId="62" xfId="0" applyFill="1" applyBorder="1" applyProtection="1"/>
    <xf numFmtId="0" fontId="0" fillId="2" borderId="63" xfId="0" applyFill="1" applyBorder="1" applyProtection="1"/>
    <xf numFmtId="0" fontId="0" fillId="2" borderId="64" xfId="0" applyFill="1" applyBorder="1" applyProtection="1"/>
    <xf numFmtId="0" fontId="0" fillId="2" borderId="58" xfId="0" applyFill="1" applyBorder="1" applyProtection="1"/>
    <xf numFmtId="0" fontId="0" fillId="2" borderId="65" xfId="0" applyFill="1" applyBorder="1" applyAlignment="1" applyProtection="1"/>
    <xf numFmtId="0" fontId="0" fillId="7" borderId="61" xfId="0" applyFill="1" applyBorder="1" applyProtection="1"/>
    <xf numFmtId="0" fontId="0" fillId="2" borderId="66" xfId="0" applyFill="1" applyBorder="1" applyProtection="1"/>
    <xf numFmtId="0" fontId="0" fillId="7" borderId="67" xfId="0" applyFill="1" applyBorder="1" applyProtection="1"/>
    <xf numFmtId="0" fontId="0" fillId="7" borderId="68" xfId="0" applyFill="1" applyBorder="1" applyProtection="1"/>
    <xf numFmtId="0" fontId="0" fillId="2" borderId="61" xfId="0" applyFill="1" applyBorder="1" applyAlignment="1" applyProtection="1">
      <alignment horizontal="center"/>
    </xf>
    <xf numFmtId="0" fontId="0" fillId="7" borderId="69" xfId="0" applyFill="1" applyBorder="1" applyProtection="1"/>
    <xf numFmtId="0" fontId="0" fillId="4" borderId="70" xfId="0" applyFill="1" applyBorder="1" applyAlignment="1" applyProtection="1">
      <alignment vertical="center"/>
    </xf>
    <xf numFmtId="0" fontId="1" fillId="0" borderId="24" xfId="0" applyFont="1" applyFill="1" applyBorder="1" applyAlignment="1" applyProtection="1">
      <alignment horizontal="center"/>
    </xf>
    <xf numFmtId="14" fontId="0" fillId="0" borderId="24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168" fontId="0" fillId="0" borderId="0" xfId="0" applyNumberFormat="1" applyAlignment="1" applyProtection="1"/>
    <xf numFmtId="0" fontId="0" fillId="0" borderId="0" xfId="0" applyNumberFormat="1" applyAlignment="1" applyProtection="1">
      <alignment horizontal="center"/>
    </xf>
    <xf numFmtId="0" fontId="0" fillId="0" borderId="19" xfId="0" applyBorder="1" applyAlignment="1" applyProtection="1"/>
    <xf numFmtId="0" fontId="0" fillId="4" borderId="16" xfId="0" applyFill="1" applyBorder="1" applyProtection="1"/>
    <xf numFmtId="0" fontId="0" fillId="4" borderId="0" xfId="0" applyFill="1" applyBorder="1" applyProtection="1"/>
    <xf numFmtId="0" fontId="0" fillId="4" borderId="19" xfId="0" applyFill="1" applyBorder="1" applyProtection="1"/>
    <xf numFmtId="0" fontId="0" fillId="4" borderId="23" xfId="0" applyFill="1" applyBorder="1" applyAlignment="1" applyProtection="1">
      <alignment horizontal="right"/>
    </xf>
    <xf numFmtId="0" fontId="0" fillId="4" borderId="23" xfId="0" applyFill="1" applyBorder="1" applyProtection="1"/>
    <xf numFmtId="0" fontId="0" fillId="4" borderId="21" xfId="0" applyFill="1" applyBorder="1" applyProtection="1"/>
    <xf numFmtId="0" fontId="0" fillId="0" borderId="0" xfId="0" applyAlignment="1" applyProtection="1">
      <alignment horizontal="right"/>
    </xf>
    <xf numFmtId="0" fontId="0" fillId="0" borderId="5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26" xfId="0" applyFill="1" applyBorder="1" applyProtection="1"/>
    <xf numFmtId="0" fontId="0" fillId="8" borderId="22" xfId="0" applyFill="1" applyBorder="1" applyAlignment="1" applyProtection="1">
      <alignment horizontal="center"/>
    </xf>
    <xf numFmtId="0" fontId="0" fillId="8" borderId="20" xfId="0" applyFill="1" applyBorder="1" applyProtection="1"/>
    <xf numFmtId="0" fontId="0" fillId="8" borderId="53" xfId="0" applyFill="1" applyBorder="1" applyProtection="1"/>
    <xf numFmtId="0" fontId="0" fillId="0" borderId="49" xfId="0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164" fontId="0" fillId="0" borderId="75" xfId="0" applyNumberFormat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center"/>
    </xf>
    <xf numFmtId="0" fontId="0" fillId="0" borderId="73" xfId="0" applyBorder="1" applyAlignment="1" applyProtection="1">
      <alignment horizontal="center"/>
    </xf>
    <xf numFmtId="0" fontId="0" fillId="8" borderId="17" xfId="0" applyFill="1" applyBorder="1" applyProtection="1"/>
    <xf numFmtId="0" fontId="0" fillId="8" borderId="19" xfId="0" applyFill="1" applyBorder="1" applyProtection="1"/>
    <xf numFmtId="0" fontId="0" fillId="8" borderId="23" xfId="0" applyFill="1" applyBorder="1" applyAlignment="1" applyProtection="1">
      <alignment horizontal="center"/>
    </xf>
    <xf numFmtId="0" fontId="0" fillId="8" borderId="21" xfId="0" applyFill="1" applyBorder="1" applyProtection="1"/>
    <xf numFmtId="0" fontId="0" fillId="8" borderId="48" xfId="0" applyFill="1" applyBorder="1" applyProtection="1"/>
    <xf numFmtId="0" fontId="0" fillId="4" borderId="0" xfId="0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left" vertical="center"/>
    </xf>
    <xf numFmtId="0" fontId="0" fillId="0" borderId="18" xfId="0" applyBorder="1" applyAlignment="1" applyProtection="1">
      <alignment horizontal="center"/>
    </xf>
    <xf numFmtId="0" fontId="0" fillId="4" borderId="23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right" vertical="center"/>
    </xf>
    <xf numFmtId="0" fontId="0" fillId="4" borderId="0" xfId="0" applyNumberFormat="1" applyFill="1" applyBorder="1" applyAlignment="1" applyProtection="1">
      <alignment horizontal="left" vertical="center"/>
    </xf>
    <xf numFmtId="0" fontId="0" fillId="4" borderId="27" xfId="0" applyFill="1" applyBorder="1" applyAlignment="1" applyProtection="1">
      <alignment vertical="center"/>
    </xf>
    <xf numFmtId="0" fontId="0" fillId="4" borderId="77" xfId="0" applyFill="1" applyBorder="1" applyAlignment="1" applyProtection="1">
      <alignment horizontal="right" vertical="center"/>
    </xf>
    <xf numFmtId="0" fontId="0" fillId="0" borderId="78" xfId="0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center"/>
    </xf>
    <xf numFmtId="164" fontId="0" fillId="0" borderId="34" xfId="0" applyNumberFormat="1" applyFill="1" applyBorder="1" applyAlignment="1" applyProtection="1">
      <alignment horizontal="center"/>
    </xf>
    <xf numFmtId="0" fontId="0" fillId="0" borderId="34" xfId="0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61" xfId="0" applyFill="1" applyBorder="1" applyProtection="1"/>
    <xf numFmtId="0" fontId="0" fillId="0" borderId="52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171" fontId="0" fillId="0" borderId="0" xfId="0" applyNumberFormat="1" applyProtection="1"/>
    <xf numFmtId="14" fontId="0" fillId="0" borderId="17" xfId="0" applyNumberFormat="1" applyBorder="1" applyProtection="1"/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2" fontId="12" fillId="3" borderId="42" xfId="0" applyNumberFormat="1" applyFont="1" applyFill="1" applyBorder="1" applyAlignment="1" applyProtection="1">
      <alignment horizontal="center" vertical="center"/>
    </xf>
    <xf numFmtId="2" fontId="12" fillId="3" borderId="6" xfId="0" applyNumberFormat="1" applyFont="1" applyFill="1" applyBorder="1" applyAlignment="1" applyProtection="1">
      <alignment horizontal="center" vertical="center"/>
    </xf>
    <xf numFmtId="2" fontId="12" fillId="3" borderId="12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14" fillId="0" borderId="41" xfId="0" applyFont="1" applyBorder="1" applyAlignment="1" applyProtection="1">
      <alignment horizontal="center"/>
    </xf>
    <xf numFmtId="0" fontId="12" fillId="3" borderId="42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2" fontId="15" fillId="3" borderId="36" xfId="0" applyNumberFormat="1" applyFont="1" applyFill="1" applyBorder="1" applyAlignment="1" applyProtection="1">
      <alignment horizontal="center" vertical="top"/>
    </xf>
    <xf numFmtId="2" fontId="15" fillId="3" borderId="2" xfId="0" applyNumberFormat="1" applyFont="1" applyFill="1" applyBorder="1" applyAlignment="1" applyProtection="1">
      <alignment horizontal="center" vertical="top"/>
    </xf>
    <xf numFmtId="2" fontId="15" fillId="3" borderId="13" xfId="0" applyNumberFormat="1" applyFont="1" applyFill="1" applyBorder="1" applyAlignment="1" applyProtection="1">
      <alignment horizontal="center" vertical="top"/>
    </xf>
    <xf numFmtId="9" fontId="12" fillId="0" borderId="9" xfId="0" applyNumberFormat="1" applyFont="1" applyBorder="1" applyAlignment="1" applyProtection="1">
      <alignment horizontal="center" vertical="center"/>
    </xf>
    <xf numFmtId="9" fontId="12" fillId="0" borderId="10" xfId="0" applyNumberFormat="1" applyFont="1" applyBorder="1" applyAlignment="1" applyProtection="1">
      <alignment horizontal="center" vertical="center"/>
    </xf>
    <xf numFmtId="9" fontId="12" fillId="0" borderId="38" xfId="0" applyNumberFormat="1" applyFont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46" xfId="0" applyFont="1" applyFill="1" applyBorder="1" applyAlignment="1" applyProtection="1">
      <alignment horizontal="center" vertical="center"/>
    </xf>
    <xf numFmtId="0" fontId="14" fillId="5" borderId="9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38" xfId="0" applyFont="1" applyFill="1" applyBorder="1" applyAlignment="1" applyProtection="1">
      <alignment horizontal="center" vertical="center"/>
      <protection locked="0"/>
    </xf>
    <xf numFmtId="165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0" fontId="14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10" xfId="0" applyNumberFormat="1" applyFont="1" applyFill="1" applyBorder="1" applyAlignment="1" applyProtection="1">
      <alignment horizontal="center" vertical="center"/>
      <protection locked="0"/>
    </xf>
    <xf numFmtId="0" fontId="14" fillId="2" borderId="38" xfId="0" applyNumberFormat="1" applyFont="1" applyFill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3" borderId="40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left" vertical="center" wrapText="1"/>
      <protection locked="0"/>
    </xf>
    <xf numFmtId="0" fontId="14" fillId="0" borderId="10" xfId="0" applyFont="1" applyFill="1" applyBorder="1" applyAlignment="1" applyProtection="1">
      <alignment horizontal="left" vertical="center" wrapText="1"/>
      <protection locked="0"/>
    </xf>
    <xf numFmtId="0" fontId="14" fillId="0" borderId="38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41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37" xfId="0" applyFont="1" applyFill="1" applyBorder="1" applyAlignment="1" applyProtection="1">
      <alignment horizontal="center" vertical="center" wrapText="1"/>
    </xf>
    <xf numFmtId="0" fontId="12" fillId="2" borderId="40" xfId="0" applyNumberFormat="1" applyFont="1" applyFill="1" applyBorder="1" applyAlignment="1" applyProtection="1">
      <alignment horizontal="left" vertical="center"/>
    </xf>
    <xf numFmtId="0" fontId="12" fillId="2" borderId="10" xfId="0" applyNumberFormat="1" applyFont="1" applyFill="1" applyBorder="1" applyAlignment="1" applyProtection="1">
      <alignment horizontal="left" vertical="center"/>
    </xf>
    <xf numFmtId="0" fontId="12" fillId="2" borderId="11" xfId="0" applyNumberFormat="1" applyFont="1" applyFill="1" applyBorder="1" applyAlignment="1" applyProtection="1">
      <alignment horizontal="left" vertical="center"/>
    </xf>
    <xf numFmtId="0" fontId="12" fillId="3" borderId="40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38" xfId="0" applyFont="1" applyFill="1" applyBorder="1" applyAlignment="1" applyProtection="1">
      <alignment horizontal="center" vertical="center" wrapText="1"/>
    </xf>
    <xf numFmtId="164" fontId="14" fillId="5" borderId="9" xfId="0" applyNumberFormat="1" applyFont="1" applyFill="1" applyBorder="1" applyAlignment="1" applyProtection="1">
      <alignment horizontal="center" vertical="center"/>
      <protection locked="0"/>
    </xf>
    <xf numFmtId="164" fontId="14" fillId="5" borderId="10" xfId="0" applyNumberFormat="1" applyFont="1" applyFill="1" applyBorder="1" applyAlignment="1" applyProtection="1">
      <alignment horizontal="center" vertical="center"/>
      <protection locked="0"/>
    </xf>
    <xf numFmtId="164" fontId="14" fillId="5" borderId="11" xfId="0" applyNumberFormat="1" applyFont="1" applyFill="1" applyBorder="1" applyAlignment="1" applyProtection="1">
      <alignment horizontal="center" vertical="center"/>
      <protection locked="0"/>
    </xf>
    <xf numFmtId="164" fontId="14" fillId="5" borderId="7" xfId="0" applyNumberFormat="1" applyFont="1" applyFill="1" applyBorder="1" applyAlignment="1" applyProtection="1">
      <alignment horizontal="center" vertical="center"/>
      <protection locked="0"/>
    </xf>
    <xf numFmtId="164" fontId="14" fillId="5" borderId="6" xfId="0" applyNumberFormat="1" applyFont="1" applyFill="1" applyBorder="1" applyAlignment="1" applyProtection="1">
      <alignment horizontal="center" vertical="center"/>
      <protection locked="0"/>
    </xf>
    <xf numFmtId="164" fontId="14" fillId="5" borderId="12" xfId="0" applyNumberFormat="1" applyFont="1" applyFill="1" applyBorder="1" applyAlignment="1" applyProtection="1">
      <alignment horizontal="center" vertical="center"/>
      <protection locked="0"/>
    </xf>
    <xf numFmtId="164" fontId="14" fillId="5" borderId="8" xfId="0" applyNumberFormat="1" applyFont="1" applyFill="1" applyBorder="1" applyAlignment="1" applyProtection="1">
      <alignment horizontal="center" vertical="center"/>
      <protection locked="0"/>
    </xf>
    <xf numFmtId="164" fontId="14" fillId="5" borderId="2" xfId="0" applyNumberFormat="1" applyFont="1" applyFill="1" applyBorder="1" applyAlignment="1" applyProtection="1">
      <alignment horizontal="center" vertical="center"/>
      <protection locked="0"/>
    </xf>
    <xf numFmtId="164" fontId="14" fillId="5" borderId="13" xfId="0" applyNumberFormat="1" applyFont="1" applyFill="1" applyBorder="1" applyAlignment="1" applyProtection="1">
      <alignment horizontal="center" vertical="center"/>
      <protection locked="0"/>
    </xf>
    <xf numFmtId="164" fontId="16" fillId="5" borderId="9" xfId="0" applyNumberFormat="1" applyFont="1" applyFill="1" applyBorder="1" applyAlignment="1" applyProtection="1">
      <alignment horizontal="center" vertical="center"/>
      <protection locked="0"/>
    </xf>
    <xf numFmtId="164" fontId="16" fillId="5" borderId="10" xfId="0" applyNumberFormat="1" applyFont="1" applyFill="1" applyBorder="1" applyAlignment="1" applyProtection="1">
      <alignment horizontal="center" vertical="center"/>
      <protection locked="0"/>
    </xf>
    <xf numFmtId="164" fontId="16" fillId="5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2" fontId="12" fillId="3" borderId="3" xfId="0" applyNumberFormat="1" applyFont="1" applyFill="1" applyBorder="1" applyAlignment="1" applyProtection="1">
      <alignment horizontal="center" vertical="center"/>
    </xf>
    <xf numFmtId="2" fontId="12" fillId="3" borderId="5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38" xfId="0" applyFont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49" fontId="12" fillId="5" borderId="34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0" borderId="40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38" xfId="0" applyFont="1" applyFill="1" applyBorder="1" applyAlignment="1" applyProtection="1">
      <alignment horizontal="center" vertical="center"/>
    </xf>
    <xf numFmtId="1" fontId="14" fillId="0" borderId="3" xfId="0" applyNumberFormat="1" applyFont="1" applyBorder="1" applyAlignment="1" applyProtection="1">
      <alignment horizontal="center" vertical="center"/>
    </xf>
    <xf numFmtId="1" fontId="14" fillId="0" borderId="5" xfId="0" applyNumberFormat="1" applyFont="1" applyBorder="1" applyAlignment="1" applyProtection="1">
      <alignment horizontal="center" vertical="center"/>
    </xf>
    <xf numFmtId="0" fontId="12" fillId="5" borderId="9" xfId="0" applyFont="1" applyFill="1" applyBorder="1" applyAlignment="1" applyProtection="1">
      <alignment horizontal="center" vertical="center"/>
      <protection locked="0"/>
    </xf>
    <xf numFmtId="0" fontId="12" fillId="5" borderId="10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14" fillId="0" borderId="16" xfId="0" applyFont="1" applyBorder="1" applyAlignment="1" applyProtection="1">
      <alignment horizontal="center"/>
    </xf>
    <xf numFmtId="0" fontId="14" fillId="0" borderId="57" xfId="0" applyFont="1" applyBorder="1" applyAlignment="1" applyProtection="1">
      <alignment horizontal="center"/>
    </xf>
    <xf numFmtId="0" fontId="14" fillId="0" borderId="23" xfId="0" applyFont="1" applyBorder="1" applyAlignment="1" applyProtection="1">
      <alignment horizontal="center"/>
    </xf>
    <xf numFmtId="0" fontId="14" fillId="0" borderId="2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1" fontId="14" fillId="0" borderId="16" xfId="0" applyNumberFormat="1" applyFont="1" applyBorder="1" applyAlignment="1" applyProtection="1">
      <alignment horizontal="center" vertical="center" wrapText="1"/>
    </xf>
    <xf numFmtId="164" fontId="14" fillId="5" borderId="41" xfId="0" applyNumberFormat="1" applyFont="1" applyFill="1" applyBorder="1" applyAlignment="1" applyProtection="1">
      <alignment horizontal="center" vertical="center"/>
      <protection locked="0"/>
    </xf>
    <xf numFmtId="164" fontId="14" fillId="5" borderId="37" xfId="0" applyNumberFormat="1" applyFont="1" applyFill="1" applyBorder="1" applyAlignment="1" applyProtection="1">
      <alignment horizontal="center" vertical="center"/>
      <protection locked="0"/>
    </xf>
    <xf numFmtId="14" fontId="14" fillId="5" borderId="10" xfId="0" applyNumberFormat="1" applyFont="1" applyFill="1" applyBorder="1" applyAlignment="1" applyProtection="1">
      <alignment horizontal="center" vertical="center"/>
      <protection locked="0"/>
    </xf>
    <xf numFmtId="14" fontId="14" fillId="5" borderId="38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2" fontId="12" fillId="2" borderId="8" xfId="0" applyNumberFormat="1" applyFont="1" applyFill="1" applyBorder="1" applyAlignment="1" applyProtection="1">
      <alignment horizontal="center" vertical="center" wrapText="1"/>
    </xf>
    <xf numFmtId="2" fontId="12" fillId="2" borderId="2" xfId="0" applyNumberFormat="1" applyFont="1" applyFill="1" applyBorder="1" applyAlignment="1" applyProtection="1">
      <alignment horizontal="center" vertical="center" wrapText="1"/>
    </xf>
    <xf numFmtId="2" fontId="12" fillId="2" borderId="13" xfId="0" applyNumberFormat="1" applyFont="1" applyFill="1" applyBorder="1" applyAlignment="1" applyProtection="1">
      <alignment horizontal="center" vertical="center" wrapText="1"/>
    </xf>
    <xf numFmtId="0" fontId="12" fillId="3" borderId="38" xfId="0" applyFont="1" applyFill="1" applyBorder="1" applyAlignment="1" applyProtection="1">
      <alignment horizontal="center" vertical="center"/>
    </xf>
    <xf numFmtId="0" fontId="14" fillId="3" borderId="40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center" vertical="center"/>
    </xf>
    <xf numFmtId="0" fontId="12" fillId="2" borderId="40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0" fontId="12" fillId="2" borderId="11" xfId="0" applyFont="1" applyFill="1" applyBorder="1" applyAlignment="1" applyProtection="1">
      <alignment horizontal="left" vertical="center"/>
    </xf>
    <xf numFmtId="0" fontId="13" fillId="2" borderId="40" xfId="0" applyFont="1" applyFill="1" applyBorder="1" applyAlignment="1" applyProtection="1">
      <alignment horizontal="left" vertical="center"/>
    </xf>
    <xf numFmtId="0" fontId="12" fillId="3" borderId="3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9" fontId="14" fillId="0" borderId="9" xfId="0" applyNumberFormat="1" applyFont="1" applyBorder="1" applyAlignment="1" applyProtection="1">
      <alignment horizontal="center" vertical="center"/>
    </xf>
    <xf numFmtId="9" fontId="14" fillId="0" borderId="10" xfId="0" applyNumberFormat="1" applyFont="1" applyBorder="1" applyAlignment="1" applyProtection="1">
      <alignment horizontal="center" vertical="center"/>
    </xf>
    <xf numFmtId="9" fontId="14" fillId="0" borderId="38" xfId="0" applyNumberFormat="1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21" xfId="0" applyBorder="1" applyAlignment="1" applyProtection="1">
      <alignment horizontal="left"/>
    </xf>
    <xf numFmtId="0" fontId="5" fillId="0" borderId="0" xfId="1" applyAlignment="1" applyProtection="1">
      <alignment horizontal="center" vertical="center"/>
      <protection locked="0"/>
    </xf>
    <xf numFmtId="0" fontId="12" fillId="3" borderId="31" xfId="0" applyFont="1" applyFill="1" applyBorder="1" applyAlignment="1" applyProtection="1">
      <alignment horizontal="center" vertical="center"/>
    </xf>
    <xf numFmtId="0" fontId="12" fillId="3" borderId="42" xfId="0" applyFont="1" applyFill="1" applyBorder="1" applyAlignment="1" applyProtection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</xf>
    <xf numFmtId="166" fontId="14" fillId="5" borderId="40" xfId="0" applyNumberFormat="1" applyFont="1" applyFill="1" applyBorder="1" applyAlignment="1" applyProtection="1">
      <alignment horizontal="center" vertical="center"/>
      <protection locked="0"/>
    </xf>
    <xf numFmtId="166" fontId="14" fillId="5" borderId="10" xfId="0" applyNumberFormat="1" applyFont="1" applyFill="1" applyBorder="1" applyAlignment="1" applyProtection="1">
      <alignment horizontal="center" vertical="center"/>
      <protection locked="0"/>
    </xf>
    <xf numFmtId="0" fontId="14" fillId="5" borderId="4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4" fillId="5" borderId="9" xfId="0" applyNumberFormat="1" applyFont="1" applyFill="1" applyBorder="1" applyAlignment="1" applyProtection="1">
      <alignment horizontal="center" vertical="center"/>
      <protection locked="0"/>
    </xf>
    <xf numFmtId="0" fontId="14" fillId="5" borderId="11" xfId="0" applyNumberFormat="1" applyFont="1" applyFill="1" applyBorder="1" applyAlignment="1" applyProtection="1">
      <alignment horizontal="center" vertical="center"/>
      <protection locked="0"/>
    </xf>
    <xf numFmtId="14" fontId="0" fillId="0" borderId="17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9" xfId="2" applyNumberFormat="1" applyFont="1" applyFill="1" applyBorder="1" applyAlignment="1" applyProtection="1">
      <alignment horizontal="left" vertical="center"/>
    </xf>
    <xf numFmtId="0" fontId="0" fillId="0" borderId="11" xfId="2" applyNumberFormat="1" applyFont="1" applyFill="1" applyBorder="1" applyAlignment="1" applyProtection="1">
      <alignment horizontal="left" vertical="center"/>
    </xf>
    <xf numFmtId="164" fontId="0" fillId="0" borderId="9" xfId="0" applyNumberFormat="1" applyFill="1" applyBorder="1" applyAlignment="1" applyProtection="1">
      <alignment horizontal="left" vertical="center"/>
    </xf>
    <xf numFmtId="164" fontId="0" fillId="0" borderId="11" xfId="0" applyNumberForma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11" fillId="0" borderId="25" xfId="0" applyFont="1" applyBorder="1" applyAlignment="1" applyProtection="1">
      <alignment horizontal="center"/>
    </xf>
    <xf numFmtId="0" fontId="0" fillId="4" borderId="77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0" fillId="4" borderId="76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left" vertical="center"/>
      <protection locked="0"/>
    </xf>
    <xf numFmtId="0" fontId="0" fillId="0" borderId="76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vertical="center"/>
    </xf>
    <xf numFmtId="14" fontId="0" fillId="0" borderId="9" xfId="0" applyNumberFormat="1" applyFill="1" applyBorder="1" applyAlignment="1" applyProtection="1">
      <alignment horizontal="left" vertical="center"/>
    </xf>
    <xf numFmtId="14" fontId="0" fillId="0" borderId="11" xfId="0" applyNumberForma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18" fillId="4" borderId="24" xfId="0" applyFont="1" applyFill="1" applyBorder="1" applyAlignment="1" applyProtection="1">
      <alignment horizontal="center" vertical="center"/>
    </xf>
    <xf numFmtId="0" fontId="18" fillId="4" borderId="26" xfId="0" applyFont="1" applyFill="1" applyBorder="1" applyAlignment="1" applyProtection="1">
      <alignment horizontal="center" vertical="center"/>
    </xf>
    <xf numFmtId="0" fontId="18" fillId="4" borderId="25" xfId="0" applyFont="1" applyFill="1" applyBorder="1" applyAlignment="1" applyProtection="1">
      <alignment horizontal="center" vertical="center"/>
    </xf>
    <xf numFmtId="2" fontId="0" fillId="0" borderId="9" xfId="0" applyNumberFormat="1" applyFill="1" applyBorder="1" applyAlignment="1" applyProtection="1">
      <alignment horizontal="left" vertical="center"/>
    </xf>
    <xf numFmtId="2" fontId="0" fillId="0" borderId="11" xfId="0" applyNumberFormat="1" applyFill="1" applyBorder="1" applyAlignment="1" applyProtection="1">
      <alignment horizontal="left" vertical="center"/>
    </xf>
    <xf numFmtId="16" fontId="0" fillId="0" borderId="9" xfId="0" applyNumberFormat="1" applyFill="1" applyBorder="1" applyAlignment="1" applyProtection="1">
      <alignment horizontal="left" vertical="center"/>
    </xf>
    <xf numFmtId="0" fontId="0" fillId="0" borderId="9" xfId="0" applyNumberFormat="1" applyFill="1" applyBorder="1" applyAlignment="1" applyProtection="1">
      <alignment horizontal="left" vertical="center"/>
    </xf>
    <xf numFmtId="0" fontId="0" fillId="0" borderId="11" xfId="0" applyNumberForma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17" fillId="4" borderId="24" xfId="0" applyFont="1" applyFill="1" applyBorder="1" applyAlignment="1" applyProtection="1">
      <alignment horizontal="center" vertical="center"/>
    </xf>
    <xf numFmtId="0" fontId="17" fillId="4" borderId="26" xfId="0" applyFont="1" applyFill="1" applyBorder="1" applyAlignment="1" applyProtection="1">
      <alignment horizontal="center" vertical="center"/>
    </xf>
    <xf numFmtId="0" fontId="17" fillId="4" borderId="25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center"/>
    </xf>
    <xf numFmtId="0" fontId="0" fillId="4" borderId="15" xfId="0" applyFill="1" applyBorder="1" applyAlignment="1" applyProtection="1">
      <alignment horizontal="left" vertical="center"/>
    </xf>
    <xf numFmtId="0" fontId="17" fillId="4" borderId="19" xfId="0" applyFont="1" applyFill="1" applyBorder="1" applyAlignment="1" applyProtection="1">
      <alignment horizontal="center" vertical="center"/>
    </xf>
    <xf numFmtId="0" fontId="17" fillId="4" borderId="23" xfId="0" applyFont="1" applyFill="1" applyBorder="1" applyAlignment="1" applyProtection="1">
      <alignment horizontal="center" vertical="center"/>
    </xf>
    <xf numFmtId="0" fontId="17" fillId="4" borderId="21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left" vertical="center"/>
    </xf>
    <xf numFmtId="0" fontId="1" fillId="4" borderId="15" xfId="0" applyFont="1" applyFill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center"/>
    </xf>
    <xf numFmtId="170" fontId="0" fillId="0" borderId="9" xfId="0" applyNumberFormat="1" applyFill="1" applyBorder="1" applyAlignment="1" applyProtection="1">
      <alignment horizontal="left" vertical="center"/>
    </xf>
    <xf numFmtId="170" fontId="0" fillId="0" borderId="11" xfId="0" applyNumberFormat="1" applyFill="1" applyBorder="1" applyAlignment="1" applyProtection="1">
      <alignment horizontal="left" vertical="center"/>
    </xf>
    <xf numFmtId="0" fontId="0" fillId="8" borderId="9" xfId="0" applyFill="1" applyBorder="1" applyAlignment="1" applyProtection="1">
      <alignment horizontal="left" vertical="center"/>
    </xf>
    <xf numFmtId="0" fontId="0" fillId="8" borderId="1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1" fillId="4" borderId="0" xfId="0" applyNumberFormat="1" applyFont="1" applyFill="1" applyBorder="1" applyAlignment="1" applyProtection="1">
      <alignment horizontal="left" vertical="center"/>
    </xf>
    <xf numFmtId="0" fontId="1" fillId="4" borderId="15" xfId="0" applyNumberFormat="1" applyFont="1" applyFill="1" applyBorder="1" applyAlignment="1" applyProtection="1">
      <alignment horizontal="left" vertical="center"/>
    </xf>
    <xf numFmtId="164" fontId="0" fillId="8" borderId="9" xfId="0" applyNumberFormat="1" applyFill="1" applyBorder="1" applyAlignment="1" applyProtection="1">
      <alignment horizontal="left" vertical="center"/>
    </xf>
    <xf numFmtId="164" fontId="0" fillId="8" borderId="11" xfId="0" applyNumberFormat="1" applyFill="1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0" fillId="0" borderId="71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78" xfId="0" applyBorder="1" applyAlignment="1" applyProtection="1">
      <alignment horizontal="center"/>
    </xf>
    <xf numFmtId="0" fontId="0" fillId="0" borderId="79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0" fillId="0" borderId="32" xfId="0" applyNumberFormat="1" applyBorder="1" applyAlignment="1" applyProtection="1">
      <alignment horizontal="center"/>
    </xf>
    <xf numFmtId="2" fontId="0" fillId="0" borderId="34" xfId="0" applyNumberFormat="1" applyBorder="1" applyAlignment="1" applyProtection="1">
      <alignment horizontal="center"/>
    </xf>
    <xf numFmtId="2" fontId="0" fillId="0" borderId="35" xfId="0" applyNumberFormat="1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left"/>
    </xf>
    <xf numFmtId="9" fontId="0" fillId="2" borderId="16" xfId="0" applyNumberFormat="1" applyFill="1" applyBorder="1" applyAlignment="1" applyProtection="1">
      <alignment horizontal="left"/>
    </xf>
    <xf numFmtId="0" fontId="0" fillId="2" borderId="22" xfId="0" applyFill="1" applyBorder="1" applyProtection="1"/>
    <xf numFmtId="0" fontId="0" fillId="2" borderId="20" xfId="0" applyFill="1" applyBorder="1" applyProtection="1"/>
    <xf numFmtId="0" fontId="0" fillId="2" borderId="23" xfId="0" applyFill="1" applyBorder="1" applyAlignment="1" applyProtection="1">
      <alignment horizontal="left"/>
    </xf>
    <xf numFmtId="0" fontId="0" fillId="2" borderId="21" xfId="0" applyFill="1" applyBorder="1" applyAlignment="1" applyProtection="1">
      <alignment horizontal="left"/>
    </xf>
    <xf numFmtId="0" fontId="1" fillId="0" borderId="24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7" borderId="19" xfId="0" applyFill="1" applyBorder="1" applyAlignment="1" applyProtection="1">
      <alignment horizontal="center"/>
    </xf>
    <xf numFmtId="0" fontId="0" fillId="7" borderId="23" xfId="0" applyFill="1" applyBorder="1" applyAlignment="1" applyProtection="1">
      <alignment horizontal="center"/>
    </xf>
    <xf numFmtId="0" fontId="0" fillId="7" borderId="21" xfId="0" applyFill="1" applyBorder="1" applyAlignment="1" applyProtection="1">
      <alignment horizontal="center"/>
    </xf>
    <xf numFmtId="0" fontId="0" fillId="7" borderId="17" xfId="0" applyFill="1" applyBorder="1" applyAlignment="1" applyProtection="1">
      <alignment horizontal="left"/>
    </xf>
    <xf numFmtId="0" fontId="0" fillId="7" borderId="22" xfId="0" applyFill="1" applyBorder="1" applyAlignment="1" applyProtection="1">
      <alignment horizontal="left"/>
    </xf>
    <xf numFmtId="0" fontId="0" fillId="7" borderId="20" xfId="0" applyFill="1" applyBorder="1" applyAlignment="1" applyProtection="1">
      <alignment horizontal="left"/>
    </xf>
    <xf numFmtId="0" fontId="0" fillId="7" borderId="18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16" xfId="0" applyFill="1" applyBorder="1" applyAlignment="1" applyProtection="1">
      <alignment horizontal="center"/>
    </xf>
    <xf numFmtId="0" fontId="1" fillId="0" borderId="53" xfId="0" applyFont="1" applyBorder="1" applyAlignment="1" applyProtection="1">
      <alignment horizontal="center" wrapText="1"/>
    </xf>
    <xf numFmtId="0" fontId="1" fillId="0" borderId="48" xfId="0" applyFont="1" applyBorder="1" applyAlignment="1" applyProtection="1">
      <alignment horizontal="center" wrapText="1"/>
    </xf>
    <xf numFmtId="0" fontId="0" fillId="2" borderId="24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right"/>
    </xf>
    <xf numFmtId="0" fontId="0" fillId="2" borderId="26" xfId="0" applyFill="1" applyBorder="1" applyAlignment="1" applyProtection="1">
      <alignment horizontal="right"/>
    </xf>
    <xf numFmtId="0" fontId="0" fillId="2" borderId="26" xfId="0" applyFill="1" applyBorder="1" applyAlignment="1" applyProtection="1">
      <alignment horizontal="left"/>
    </xf>
    <xf numFmtId="0" fontId="0" fillId="2" borderId="25" xfId="0" applyFill="1" applyBorder="1" applyAlignment="1" applyProtection="1">
      <alignment horizontal="left"/>
    </xf>
    <xf numFmtId="0" fontId="0" fillId="7" borderId="24" xfId="0" applyFill="1" applyBorder="1" applyAlignment="1" applyProtection="1">
      <alignment horizontal="center"/>
    </xf>
    <xf numFmtId="0" fontId="0" fillId="7" borderId="26" xfId="0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wrapText="1"/>
    </xf>
    <xf numFmtId="0" fontId="1" fillId="0" borderId="20" xfId="0" applyFont="1" applyBorder="1" applyAlignment="1" applyProtection="1">
      <alignment horizontal="center" wrapText="1"/>
    </xf>
    <xf numFmtId="0" fontId="1" fillId="0" borderId="19" xfId="0" applyFont="1" applyBorder="1" applyAlignment="1" applyProtection="1">
      <alignment horizontal="center" wrapText="1"/>
    </xf>
    <xf numFmtId="0" fontId="1" fillId="0" borderId="21" xfId="0" applyFont="1" applyBorder="1" applyAlignment="1" applyProtection="1">
      <alignment horizontal="center" wrapText="1"/>
    </xf>
    <xf numFmtId="0" fontId="1" fillId="0" borderId="26" xfId="0" applyFont="1" applyBorder="1" applyAlignment="1" applyProtection="1">
      <alignment horizontal="center"/>
    </xf>
    <xf numFmtId="14" fontId="0" fillId="0" borderId="26" xfId="0" applyNumberFormat="1" applyFont="1" applyFill="1" applyBorder="1" applyAlignment="1" applyProtection="1">
      <alignment horizontal="center"/>
    </xf>
    <xf numFmtId="0" fontId="0" fillId="0" borderId="25" xfId="0" applyFont="1" applyFill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72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0" fillId="0" borderId="55" xfId="0" applyBorder="1" applyAlignment="1" applyProtection="1">
      <alignment horizontal="center"/>
    </xf>
    <xf numFmtId="0" fontId="0" fillId="2" borderId="17" xfId="0" applyFill="1" applyBorder="1" applyAlignment="1" applyProtection="1">
      <alignment horizontal="right"/>
    </xf>
    <xf numFmtId="0" fontId="0" fillId="2" borderId="22" xfId="0" applyFill="1" applyBorder="1" applyAlignment="1" applyProtection="1">
      <alignment horizontal="right"/>
    </xf>
    <xf numFmtId="0" fontId="0" fillId="2" borderId="18" xfId="0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0" fillId="0" borderId="24" xfId="0" applyBorder="1" applyAlignment="1" applyProtection="1">
      <alignment horizontal="right"/>
    </xf>
    <xf numFmtId="0" fontId="0" fillId="0" borderId="26" xfId="0" applyBorder="1" applyAlignment="1" applyProtection="1">
      <alignment horizontal="right"/>
    </xf>
    <xf numFmtId="0" fontId="0" fillId="0" borderId="33" xfId="0" applyBorder="1" applyAlignment="1" applyProtection="1">
      <alignment horizontal="center"/>
    </xf>
    <xf numFmtId="16" fontId="0" fillId="0" borderId="34" xfId="0" applyNumberFormat="1" applyBorder="1" applyAlignment="1" applyProtection="1">
      <alignment horizontal="center"/>
    </xf>
    <xf numFmtId="0" fontId="0" fillId="2" borderId="19" xfId="0" applyFill="1" applyBorder="1" applyAlignment="1" applyProtection="1">
      <alignment horizontal="right"/>
    </xf>
    <xf numFmtId="0" fontId="0" fillId="2" borderId="23" xfId="0" applyFill="1" applyBorder="1" applyAlignment="1" applyProtection="1">
      <alignment horizontal="right"/>
    </xf>
    <xf numFmtId="0" fontId="0" fillId="0" borderId="31" xfId="0" applyBorder="1" applyAlignment="1" applyProtection="1">
      <alignment horizontal="center"/>
    </xf>
    <xf numFmtId="16" fontId="0" fillId="0" borderId="1" xfId="0" applyNumberFormat="1" applyBorder="1" applyAlignment="1" applyProtection="1">
      <alignment horizontal="center"/>
    </xf>
    <xf numFmtId="0" fontId="0" fillId="0" borderId="1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7" borderId="66" xfId="0" applyFill="1" applyBorder="1" applyAlignment="1" applyProtection="1">
      <alignment horizontal="center"/>
    </xf>
    <xf numFmtId="0" fontId="0" fillId="7" borderId="17" xfId="0" applyFill="1" applyBorder="1" applyAlignment="1" applyProtection="1">
      <alignment horizontal="center" vertical="center" wrapText="1"/>
    </xf>
    <xf numFmtId="0" fontId="0" fillId="7" borderId="22" xfId="0" applyFill="1" applyBorder="1" applyAlignment="1" applyProtection="1">
      <alignment horizontal="center" vertical="center" wrapText="1"/>
    </xf>
    <xf numFmtId="0" fontId="0" fillId="7" borderId="20" xfId="0" applyFill="1" applyBorder="1" applyAlignment="1" applyProtection="1">
      <alignment horizontal="center" vertical="center" wrapText="1"/>
    </xf>
    <xf numFmtId="0" fontId="0" fillId="7" borderId="18" xfId="0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0" fillId="7" borderId="16" xfId="0" applyFill="1" applyBorder="1" applyAlignment="1" applyProtection="1">
      <alignment horizontal="center" vertical="center" wrapText="1"/>
    </xf>
    <xf numFmtId="0" fontId="9" fillId="7" borderId="17" xfId="0" applyFont="1" applyFill="1" applyBorder="1" applyAlignment="1" applyProtection="1">
      <alignment horizontal="center" vertical="center" wrapText="1"/>
    </xf>
    <xf numFmtId="0" fontId="9" fillId="7" borderId="20" xfId="0" applyFont="1" applyFill="1" applyBorder="1" applyAlignment="1" applyProtection="1">
      <alignment horizontal="center" vertical="center" wrapText="1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6" xfId="0" applyFont="1" applyFill="1" applyBorder="1" applyAlignment="1" applyProtection="1">
      <alignment horizontal="center" vertical="center" wrapText="1"/>
    </xf>
    <xf numFmtId="0" fontId="9" fillId="7" borderId="19" xfId="0" applyFont="1" applyFill="1" applyBorder="1" applyAlignment="1" applyProtection="1">
      <alignment horizontal="center" vertical="center" wrapText="1"/>
    </xf>
    <xf numFmtId="0" fontId="9" fillId="7" borderId="21" xfId="0" applyFont="1" applyFill="1" applyBorder="1" applyAlignment="1" applyProtection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numFmt numFmtId="172" formatCode="0.00\ &quot;tons&quot;"/>
    </dxf>
    <dxf>
      <font>
        <color auto="1"/>
      </font>
    </dxf>
    <dxf>
      <numFmt numFmtId="30" formatCode="@"/>
    </dxf>
    <dxf>
      <numFmt numFmtId="0" formatCode="General"/>
    </dxf>
  </dxfs>
  <tableStyles count="0" defaultTableStyle="TableStyleMedium2" defaultPivotStyle="PivotStyleLight16"/>
  <colors>
    <mruColors>
      <color rgb="FFF5F5F5"/>
      <color rgb="FFFAFAFA"/>
      <color rgb="FFFDFDFD"/>
      <color rgb="FFF8F8F8"/>
      <color rgb="FFEAEAEA"/>
      <color rgb="FFDDDDDD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'Calcs &amp; Signs'!$I$3" lockText="1" noThreeD="1"/>
</file>

<file path=xl/ctrlProps/ctrlProp2.xml><?xml version="1.0" encoding="utf-8"?>
<formControlPr xmlns="http://schemas.microsoft.com/office/spreadsheetml/2009/9/main" objectType="CheckBox" fmlaLink="O4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186267</xdr:colOff>
      <xdr:row>0</xdr:row>
      <xdr:rowOff>66676</xdr:rowOff>
    </xdr:from>
    <xdr:to>
      <xdr:col>1</xdr:col>
      <xdr:colOff>211337</xdr:colOff>
      <xdr:row>2</xdr:row>
      <xdr:rowOff>247651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67" y="66676"/>
          <a:ext cx="768020" cy="800100"/>
        </a:xfrm>
        <a:prstGeom prst="rect">
          <a:avLst/>
        </a:prstGeom>
        <a:effectLst>
          <a:outerShdw sx="1000" sy="1000" algn="ctr" rotWithShape="0">
            <a:srgbClr val="000000"/>
          </a:outerShdw>
          <a:softEdge rad="0"/>
        </a:effectLst>
        <a:scene3d>
          <a:camera prst="orthographicFront"/>
          <a:lightRig rig="threePt" dir="t"/>
        </a:scene3d>
        <a:sp3d>
          <a:bevelB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37</xdr:row>
          <xdr:rowOff>142875</xdr:rowOff>
        </xdr:from>
        <xdr:to>
          <xdr:col>5</xdr:col>
          <xdr:colOff>133350</xdr:colOff>
          <xdr:row>39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552450</xdr:colOff>
          <xdr:row>30</xdr:row>
          <xdr:rowOff>38101</xdr:rowOff>
        </xdr:from>
        <xdr:to>
          <xdr:col>13</xdr:col>
          <xdr:colOff>400050</xdr:colOff>
          <xdr:row>40</xdr:row>
          <xdr:rowOff>172962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LegalPosting" spid="_x0000_s316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72125" y="6924676"/>
              <a:ext cx="1219200" cy="1702676"/>
            </a:xfrm>
            <a:prstGeom prst="rect">
              <a:avLst/>
            </a:prstGeom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31748</xdr:colOff>
      <xdr:row>16</xdr:row>
      <xdr:rowOff>38100</xdr:rowOff>
    </xdr:from>
    <xdr:ext cx="511177" cy="173298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9154"/>
        <a:stretch/>
      </xdr:blipFill>
      <xdr:spPr>
        <a:xfrm>
          <a:off x="7289798" y="3200400"/>
          <a:ext cx="511177" cy="173298"/>
        </a:xfrm>
        <a:prstGeom prst="rect">
          <a:avLst/>
        </a:prstGeom>
      </xdr:spPr>
    </xdr:pic>
    <xdr:clientData/>
  </xdr:oneCellAnchor>
  <xdr:oneCellAnchor>
    <xdr:from>
      <xdr:col>27</xdr:col>
      <xdr:colOff>9524</xdr:colOff>
      <xdr:row>16</xdr:row>
      <xdr:rowOff>47625</xdr:rowOff>
    </xdr:from>
    <xdr:ext cx="535783" cy="176213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7778"/>
        <a:stretch/>
      </xdr:blipFill>
      <xdr:spPr>
        <a:xfrm>
          <a:off x="13630274" y="3209925"/>
          <a:ext cx="535783" cy="176213"/>
        </a:xfrm>
        <a:prstGeom prst="rect">
          <a:avLst/>
        </a:prstGeom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457200</xdr:colOff>
          <xdr:row>2</xdr:row>
          <xdr:rowOff>190500</xdr:rowOff>
        </xdr:from>
        <xdr:to>
          <xdr:col>14</xdr:col>
          <xdr:colOff>180975</xdr:colOff>
          <xdr:row>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fisher5\Desktop\New_BR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-100"/>
      <sheetName val="SMS Coding Input"/>
      <sheetName val="Calcs &amp; Signs"/>
      <sheetName val="List"/>
    </sheetNames>
    <sheetDataSet>
      <sheetData sheetId="0"/>
      <sheetData sheetId="1"/>
      <sheetData sheetId="2">
        <row r="2">
          <cell r="N2" t="str">
            <v>LegalSign</v>
          </cell>
        </row>
      </sheetData>
      <sheetData sheetId="3">
        <row r="3">
          <cell r="G3" t="str">
            <v>1 - Initial Load Rating</v>
          </cell>
          <cell r="J3" t="str">
            <v>1 - BARS</v>
          </cell>
          <cell r="M3" t="str">
            <v>0 - No Plans or information available for load rating analysis</v>
          </cell>
          <cell r="P3" t="str">
            <v>0 - Field Evaluation and Documented Engineering (Tons)</v>
          </cell>
          <cell r="V3" t="str">
            <v>0 - Unknown</v>
          </cell>
          <cell r="Z3" t="str">
            <v>P - Posted for Load-Carrying Restriction</v>
          </cell>
        </row>
        <row r="4">
          <cell r="G4" t="str">
            <v>2 - Rehabilitation</v>
          </cell>
          <cell r="J4" t="str">
            <v>2 - BRASS</v>
          </cell>
          <cell r="M4" t="str">
            <v>1 - Plan information available for load rating analysis</v>
          </cell>
          <cell r="P4" t="str">
            <v>4 - Load Testing Reports (Tons)</v>
          </cell>
          <cell r="V4" t="str">
            <v>1 - H10</v>
          </cell>
          <cell r="Z4" t="str">
            <v>A - Open, No Restriction</v>
          </cell>
        </row>
        <row r="5">
          <cell r="G5" t="str">
            <v>3 - Dead Load Changed</v>
          </cell>
          <cell r="J5" t="str">
            <v>3 - AASHTO  BrR (VIRTIS)</v>
          </cell>
          <cell r="M5" t="str">
            <v>2 - Field measured information for load rating analysis</v>
          </cell>
          <cell r="P5" t="str">
            <v>5 - No Rating Analysis or Evaluation Performed (Tons)</v>
          </cell>
          <cell r="V5" t="str">
            <v>2 - H15</v>
          </cell>
          <cell r="Z5" t="str">
            <v>B - Open, Posting Recommended</v>
          </cell>
        </row>
        <row r="6">
          <cell r="G6" t="str">
            <v>4 - Wearing Surface Added</v>
          </cell>
          <cell r="J6" t="str">
            <v>4 - Testing</v>
          </cell>
          <cell r="M6" t="str">
            <v>3 - Field testing information (Non-destructive)</v>
          </cell>
          <cell r="P6" t="str">
            <v>6 - Load Factor (LF) rating reported by rating factor (RF)</v>
          </cell>
          <cell r="V6" t="str">
            <v>3 - HS15</v>
          </cell>
          <cell r="Z6" t="str">
            <v>C - Open, Half-Width construction</v>
          </cell>
        </row>
        <row r="7">
          <cell r="G7" t="str">
            <v>5 - Deterioration or GA Dropped Below 5</v>
          </cell>
          <cell r="J7" t="str">
            <v>5 - Finite Element (FE) Program</v>
          </cell>
          <cell r="M7" t="str">
            <v>N- Not Applicable</v>
          </cell>
          <cell r="P7" t="str">
            <v>7 - Allowable Stress (AS) rating reported by rating factor (RF)</v>
          </cell>
          <cell r="V7" t="str">
            <v>4 - H20</v>
          </cell>
          <cell r="Z7" t="str">
            <v>D - Open to Allow Unrestricted Traffic</v>
          </cell>
        </row>
        <row r="8">
          <cell r="G8" t="str">
            <v>6 - Damage</v>
          </cell>
          <cell r="J8" t="str">
            <v>6 - In-House Program/Spreadsheet</v>
          </cell>
          <cell r="P8" t="str">
            <v>8 - Load &amp; Resistance Factor Rating (LRFR) reported by rating factor (RF)</v>
          </cell>
          <cell r="V8" t="str">
            <v>5 - HS20</v>
          </cell>
          <cell r="Z8" t="str">
            <v>E - Open, Temporary Structure in Place</v>
          </cell>
        </row>
        <row r="9">
          <cell r="G9" t="str">
            <v>7 - Not Applicable</v>
          </cell>
          <cell r="J9" t="str">
            <v>7 - Combination</v>
          </cell>
          <cell r="P9" t="str">
            <v>D - Assigned rating based on Load Factor Rating (RF)</v>
          </cell>
          <cell r="V9" t="str">
            <v>6 - HS20-44 &amp; Alternate Military Loading</v>
          </cell>
          <cell r="Z9" t="str">
            <v>G - New Structure Not Yet Open to Traffic</v>
          </cell>
        </row>
        <row r="10">
          <cell r="G10" t="str">
            <v>8 - Update Analysis Model and Software</v>
          </cell>
          <cell r="J10" t="str">
            <v>8 - Other program</v>
          </cell>
          <cell r="P10" t="str">
            <v>E - Assigned rating based on Allowable Stress (RF)</v>
          </cell>
          <cell r="V10" t="str">
            <v>7 - Pedestrian</v>
          </cell>
          <cell r="Z10" t="str">
            <v>K - Bridge Closed to All Traffic</v>
          </cell>
        </row>
        <row r="11">
          <cell r="J11" t="str">
            <v>9 - Manual Calculations</v>
          </cell>
          <cell r="P11" t="str">
            <v>F - Assigned Load &amp; Resistance Factor Rating (LRFR) using HL93 loadings (RF)</v>
          </cell>
          <cell r="V11" t="str">
            <v>8 - Railroad</v>
          </cell>
          <cell r="Z11" t="str">
            <v>P - Posted for Load-Carrying Restriction</v>
          </cell>
        </row>
        <row r="12">
          <cell r="J12" t="str">
            <v>0 - Assigned rating (No calculations were done)</v>
          </cell>
          <cell r="P12" t="str">
            <v>X - Not Applicable (RR bridges, buildings, Non-highway, etc.)</v>
          </cell>
          <cell r="V12" t="str">
            <v>9 - HS25 or Greater</v>
          </cell>
          <cell r="Z12" t="str">
            <v>R - Posted for Other Reasons</v>
          </cell>
        </row>
        <row r="13">
          <cell r="J13" t="str">
            <v>X - Not Applicable</v>
          </cell>
          <cell r="V13" t="str">
            <v>A - HL93</v>
          </cell>
          <cell r="Z13" t="str">
            <v>X - Bridge Closed for Other Reasons</v>
          </cell>
        </row>
        <row r="14">
          <cell r="V14" t="str">
            <v>B - Greater than HL93</v>
          </cell>
        </row>
        <row r="15">
          <cell r="V15" t="str">
            <v>C - Other (includes railroad bridges w/track removed)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52"/>
  <sheetViews>
    <sheetView showGridLines="0" tabSelected="1" zoomScaleNormal="100" zoomScaleSheetLayoutView="100" workbookViewId="0">
      <selection activeCell="A6" sqref="A6:B6"/>
    </sheetView>
  </sheetViews>
  <sheetFormatPr defaultRowHeight="15" x14ac:dyDescent="0.25"/>
  <cols>
    <col min="1" max="1" width="11.140625" customWidth="1"/>
    <col min="2" max="2" width="8.5703125" customWidth="1"/>
    <col min="3" max="3" width="6.85546875" customWidth="1"/>
    <col min="4" max="5" width="6.28515625" customWidth="1"/>
    <col min="6" max="6" width="12.85546875" customWidth="1"/>
    <col min="7" max="7" width="1" customWidth="1"/>
    <col min="8" max="8" width="4.28515625" customWidth="1"/>
    <col min="9" max="9" width="11.42578125" customWidth="1"/>
    <col min="10" max="10" width="7.140625" customWidth="1"/>
    <col min="11" max="11" width="13.5703125" customWidth="1"/>
    <col min="12" max="13" width="3.5703125" customWidth="1"/>
    <col min="14" max="14" width="13.5703125" customWidth="1"/>
    <col min="17" max="25" width="10.28515625" customWidth="1"/>
  </cols>
  <sheetData>
    <row r="1" spans="1:26" ht="26.25" customHeight="1" x14ac:dyDescent="0.25">
      <c r="A1" s="241" t="s">
        <v>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3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.25" customHeight="1" x14ac:dyDescent="0.25">
      <c r="A2" s="244" t="s">
        <v>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3.25" customHeight="1" x14ac:dyDescent="0.25">
      <c r="A3" s="247" t="s">
        <v>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9"/>
      <c r="O3" s="19"/>
      <c r="P3" s="19"/>
      <c r="Q3" s="97"/>
      <c r="R3" s="97"/>
      <c r="S3" s="97"/>
      <c r="T3" s="97"/>
      <c r="U3" s="19"/>
      <c r="V3" s="19"/>
      <c r="W3" s="19"/>
      <c r="X3" s="19"/>
      <c r="Y3" s="19"/>
      <c r="Z3" s="19"/>
    </row>
    <row r="4" spans="1:26" ht="11.25" customHeight="1" x14ac:dyDescent="0.25">
      <c r="A4" s="390" t="s">
        <v>9</v>
      </c>
      <c r="B4" s="338"/>
      <c r="C4" s="338" t="s">
        <v>10</v>
      </c>
      <c r="D4" s="338"/>
      <c r="E4" s="338"/>
      <c r="F4" s="338"/>
      <c r="G4" s="338" t="s">
        <v>11</v>
      </c>
      <c r="H4" s="338"/>
      <c r="I4" s="338"/>
      <c r="J4" s="338" t="s">
        <v>369</v>
      </c>
      <c r="K4" s="338"/>
      <c r="L4" s="338"/>
      <c r="M4" s="338"/>
      <c r="N4" s="377"/>
      <c r="O4" s="19"/>
      <c r="P4" s="19"/>
      <c r="Q4" s="98"/>
      <c r="R4" s="98"/>
      <c r="S4" s="89"/>
      <c r="T4" s="89"/>
      <c r="U4" s="19"/>
      <c r="V4" s="19"/>
      <c r="W4" s="19"/>
      <c r="X4" s="19"/>
      <c r="Y4" s="19"/>
      <c r="Z4" s="19"/>
    </row>
    <row r="5" spans="1:26" ht="11.25" customHeight="1" x14ac:dyDescent="0.25">
      <c r="A5" s="390"/>
      <c r="B5" s="338"/>
      <c r="C5" s="338"/>
      <c r="D5" s="338"/>
      <c r="E5" s="338"/>
      <c r="F5" s="338"/>
      <c r="G5" s="338"/>
      <c r="H5" s="338"/>
      <c r="I5" s="338"/>
      <c r="J5" s="338" t="s">
        <v>331</v>
      </c>
      <c r="K5" s="338"/>
      <c r="L5" s="338" t="s">
        <v>332</v>
      </c>
      <c r="M5" s="338"/>
      <c r="N5" s="377"/>
      <c r="O5" s="19"/>
      <c r="P5" s="59" t="s">
        <v>392</v>
      </c>
      <c r="Q5" s="94"/>
      <c r="R5" s="94"/>
      <c r="S5" s="99"/>
      <c r="T5" s="99"/>
      <c r="U5" s="100"/>
      <c r="V5" s="100"/>
      <c r="W5" s="19"/>
      <c r="X5" s="19"/>
      <c r="Y5" s="19"/>
      <c r="Z5" s="19"/>
    </row>
    <row r="6" spans="1:26" x14ac:dyDescent="0.25">
      <c r="A6" s="393">
        <v>1234567</v>
      </c>
      <c r="B6" s="394"/>
      <c r="C6" s="281"/>
      <c r="D6" s="282"/>
      <c r="E6" s="282"/>
      <c r="F6" s="396"/>
      <c r="G6" s="281" t="str">
        <f>'Calcs &amp; Signs'!C58</f>
        <v>N/A</v>
      </c>
      <c r="H6" s="282"/>
      <c r="I6" s="396"/>
      <c r="J6" s="397" t="s">
        <v>456</v>
      </c>
      <c r="K6" s="398"/>
      <c r="L6" s="281" t="s">
        <v>456</v>
      </c>
      <c r="M6" s="282"/>
      <c r="N6" s="283"/>
      <c r="O6" s="19"/>
      <c r="P6" s="19" t="s">
        <v>340</v>
      </c>
      <c r="Q6" s="95"/>
      <c r="R6" s="95"/>
      <c r="S6" s="99"/>
      <c r="T6" s="99"/>
      <c r="U6" s="100"/>
      <c r="V6" s="100"/>
      <c r="W6" s="19"/>
      <c r="X6" s="19"/>
      <c r="Y6" s="19"/>
      <c r="Z6" s="19"/>
    </row>
    <row r="7" spans="1:26" ht="11.25" customHeight="1" x14ac:dyDescent="0.25">
      <c r="A7" s="391" t="s">
        <v>370</v>
      </c>
      <c r="B7" s="312"/>
      <c r="C7" s="298" t="s">
        <v>12</v>
      </c>
      <c r="D7" s="299"/>
      <c r="E7" s="312"/>
      <c r="F7" s="297" t="s">
        <v>126</v>
      </c>
      <c r="G7" s="297"/>
      <c r="H7" s="297"/>
      <c r="I7" s="297"/>
      <c r="J7" s="298" t="s">
        <v>279</v>
      </c>
      <c r="K7" s="299"/>
      <c r="L7" s="299"/>
      <c r="M7" s="299"/>
      <c r="N7" s="300"/>
      <c r="O7" s="19"/>
      <c r="P7" s="19" t="s">
        <v>341</v>
      </c>
      <c r="Q7" s="96"/>
      <c r="R7" s="96"/>
      <c r="S7" s="95"/>
      <c r="T7" s="95"/>
      <c r="U7" s="95"/>
      <c r="V7" s="19"/>
      <c r="W7" s="19"/>
      <c r="X7" s="19"/>
      <c r="Y7" s="19"/>
      <c r="Z7" s="19"/>
    </row>
    <row r="8" spans="1:26" ht="11.25" customHeight="1" x14ac:dyDescent="0.25">
      <c r="A8" s="392" t="s">
        <v>371</v>
      </c>
      <c r="B8" s="313"/>
      <c r="C8" s="301"/>
      <c r="D8" s="302"/>
      <c r="E8" s="313"/>
      <c r="F8" s="297"/>
      <c r="G8" s="297"/>
      <c r="H8" s="297"/>
      <c r="I8" s="297"/>
      <c r="J8" s="301"/>
      <c r="K8" s="302"/>
      <c r="L8" s="302"/>
      <c r="M8" s="302"/>
      <c r="N8" s="303"/>
      <c r="O8" s="19"/>
      <c r="P8" s="389" t="str">
        <f>HYPERLINK('Calcs &amp; Signs'!L53,"View Google Map")</f>
        <v>View Google Map</v>
      </c>
      <c r="Q8" s="389"/>
      <c r="R8" s="96"/>
      <c r="S8" s="95"/>
      <c r="T8" s="95"/>
      <c r="U8" s="19"/>
      <c r="V8" s="19"/>
      <c r="W8" s="19"/>
      <c r="X8" s="19"/>
      <c r="Y8" s="19"/>
      <c r="Z8" s="19"/>
    </row>
    <row r="9" spans="1:26" x14ac:dyDescent="0.25">
      <c r="A9" s="395"/>
      <c r="B9" s="282"/>
      <c r="C9" s="281"/>
      <c r="D9" s="282"/>
      <c r="E9" s="396"/>
      <c r="F9" s="284"/>
      <c r="G9" s="284"/>
      <c r="H9" s="284"/>
      <c r="I9" s="284"/>
      <c r="J9" s="281"/>
      <c r="K9" s="282"/>
      <c r="L9" s="282"/>
      <c r="M9" s="282"/>
      <c r="N9" s="283"/>
      <c r="O9" s="19"/>
      <c r="P9" s="389"/>
      <c r="Q9" s="389"/>
      <c r="R9" s="80"/>
      <c r="S9" s="80"/>
      <c r="T9" s="80"/>
      <c r="U9" s="19"/>
      <c r="V9" s="19"/>
      <c r="W9" s="19"/>
      <c r="X9" s="19"/>
      <c r="Y9" s="19"/>
      <c r="Z9" s="19"/>
    </row>
    <row r="10" spans="1:26" ht="129.75" customHeight="1" thickBot="1" x14ac:dyDescent="0.3">
      <c r="A10" s="292" t="s">
        <v>151</v>
      </c>
      <c r="B10" s="293"/>
      <c r="C10" s="294" t="s">
        <v>455</v>
      </c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2.5" customHeight="1" thickBot="1" x14ac:dyDescent="0.3">
      <c r="A11" s="367"/>
      <c r="B11" s="368"/>
      <c r="C11" s="369"/>
      <c r="D11" s="346" t="s">
        <v>17</v>
      </c>
      <c r="E11" s="308"/>
      <c r="F11" s="308"/>
      <c r="G11" s="308"/>
      <c r="H11" s="308"/>
      <c r="I11" s="308"/>
      <c r="J11" s="308"/>
      <c r="K11" s="308"/>
      <c r="L11" s="308"/>
      <c r="M11" s="308"/>
      <c r="N11" s="366"/>
      <c r="O11" s="19"/>
      <c r="P11" s="19"/>
      <c r="Q11" s="407" t="s">
        <v>366</v>
      </c>
      <c r="R11" s="408"/>
      <c r="S11" s="19"/>
      <c r="T11" s="19"/>
      <c r="U11" s="19"/>
      <c r="V11" s="19"/>
      <c r="W11" s="19"/>
      <c r="X11" s="19"/>
      <c r="Y11" s="19"/>
      <c r="Z11" s="19"/>
    </row>
    <row r="12" spans="1:26" ht="15" customHeight="1" thickBot="1" x14ac:dyDescent="0.3">
      <c r="A12" s="373" t="s">
        <v>353</v>
      </c>
      <c r="B12" s="374"/>
      <c r="C12" s="375"/>
      <c r="D12" s="287" t="s">
        <v>127</v>
      </c>
      <c r="E12" s="288"/>
      <c r="F12" s="288"/>
      <c r="G12" s="288"/>
      <c r="H12" s="288"/>
      <c r="I12" s="288"/>
      <c r="J12" s="288"/>
      <c r="K12" s="288"/>
      <c r="L12" s="288"/>
      <c r="M12" s="288"/>
      <c r="N12" s="289"/>
      <c r="O12" s="19"/>
      <c r="P12" s="19"/>
      <c r="Q12" s="184">
        <v>43604</v>
      </c>
      <c r="R12" s="56" t="s">
        <v>368</v>
      </c>
      <c r="S12" s="56"/>
      <c r="T12" s="56"/>
      <c r="U12" s="56"/>
      <c r="V12" s="56"/>
      <c r="W12" s="56"/>
      <c r="X12" s="56"/>
      <c r="Y12" s="57"/>
      <c r="Z12" s="19"/>
    </row>
    <row r="13" spans="1:26" ht="15" customHeight="1" thickBot="1" x14ac:dyDescent="0.3">
      <c r="A13" s="373" t="s">
        <v>354</v>
      </c>
      <c r="B13" s="374"/>
      <c r="C13" s="375"/>
      <c r="D13" s="287">
        <v>9</v>
      </c>
      <c r="E13" s="288"/>
      <c r="F13" s="288"/>
      <c r="G13" s="288"/>
      <c r="H13" s="288"/>
      <c r="I13" s="288"/>
      <c r="J13" s="288"/>
      <c r="K13" s="288"/>
      <c r="L13" s="288"/>
      <c r="M13" s="288"/>
      <c r="N13" s="289"/>
      <c r="O13" s="19"/>
      <c r="P13" s="19"/>
      <c r="Q13" s="184">
        <v>43604</v>
      </c>
      <c r="R13" s="56" t="s">
        <v>367</v>
      </c>
      <c r="S13" s="56"/>
      <c r="T13" s="56"/>
      <c r="U13" s="56"/>
      <c r="V13" s="56"/>
      <c r="W13" s="56"/>
      <c r="X13" s="56"/>
      <c r="Y13" s="57"/>
      <c r="Z13" s="19"/>
    </row>
    <row r="14" spans="1:26" ht="15" customHeight="1" thickBot="1" x14ac:dyDescent="0.3">
      <c r="A14" s="373" t="s">
        <v>363</v>
      </c>
      <c r="B14" s="374"/>
      <c r="C14" s="375"/>
      <c r="D14" s="287" t="s">
        <v>168</v>
      </c>
      <c r="E14" s="288"/>
      <c r="F14" s="288"/>
      <c r="G14" s="288"/>
      <c r="H14" s="288"/>
      <c r="I14" s="288"/>
      <c r="J14" s="288"/>
      <c r="K14" s="288"/>
      <c r="L14" s="288"/>
      <c r="M14" s="288"/>
      <c r="N14" s="289"/>
      <c r="O14" s="19"/>
      <c r="P14" s="19"/>
      <c r="Q14" s="184">
        <v>43678</v>
      </c>
      <c r="R14" s="56" t="s">
        <v>372</v>
      </c>
      <c r="S14" s="56"/>
      <c r="T14" s="56"/>
      <c r="U14" s="56"/>
      <c r="V14" s="56"/>
      <c r="W14" s="56"/>
      <c r="X14" s="56"/>
      <c r="Y14" s="57"/>
      <c r="Z14" s="19"/>
    </row>
    <row r="15" spans="1:26" ht="15" customHeight="1" x14ac:dyDescent="0.25">
      <c r="A15" s="304" t="s">
        <v>355</v>
      </c>
      <c r="B15" s="305"/>
      <c r="C15" s="306"/>
      <c r="D15" s="287"/>
      <c r="E15" s="288"/>
      <c r="F15" s="288"/>
      <c r="G15" s="288"/>
      <c r="H15" s="288"/>
      <c r="I15" s="288"/>
      <c r="J15" s="288"/>
      <c r="K15" s="288"/>
      <c r="L15" s="288"/>
      <c r="M15" s="288"/>
      <c r="N15" s="289"/>
      <c r="O15" s="19"/>
      <c r="P15" s="19"/>
      <c r="Q15" s="185">
        <v>43846</v>
      </c>
      <c r="R15" s="139" t="s">
        <v>459</v>
      </c>
      <c r="S15" s="139"/>
      <c r="T15" s="139"/>
      <c r="U15" s="139"/>
      <c r="V15" s="139"/>
      <c r="W15" s="139"/>
      <c r="X15" s="139"/>
      <c r="Y15" s="37"/>
      <c r="Z15" s="19"/>
    </row>
    <row r="16" spans="1:26" ht="15" customHeight="1" x14ac:dyDescent="0.25">
      <c r="A16" s="373" t="s">
        <v>364</v>
      </c>
      <c r="B16" s="374"/>
      <c r="C16" s="375"/>
      <c r="D16" s="287" t="s">
        <v>330</v>
      </c>
      <c r="E16" s="288"/>
      <c r="F16" s="288"/>
      <c r="G16" s="288"/>
      <c r="H16" s="288"/>
      <c r="I16" s="288"/>
      <c r="J16" s="288"/>
      <c r="K16" s="288"/>
      <c r="L16" s="288"/>
      <c r="M16" s="288"/>
      <c r="N16" s="289"/>
      <c r="O16" s="19"/>
      <c r="P16" s="19"/>
      <c r="Q16" s="140"/>
      <c r="R16" s="60" t="s">
        <v>381</v>
      </c>
      <c r="S16" s="60"/>
      <c r="T16" s="60"/>
      <c r="U16" s="60"/>
      <c r="V16" s="60"/>
      <c r="W16" s="60"/>
      <c r="X16" s="60"/>
      <c r="Y16" s="141"/>
      <c r="Z16" s="19"/>
    </row>
    <row r="17" spans="1:26" ht="15" customHeight="1" thickBot="1" x14ac:dyDescent="0.3">
      <c r="A17" s="373" t="s">
        <v>365</v>
      </c>
      <c r="B17" s="374"/>
      <c r="C17" s="375"/>
      <c r="D17" s="287" t="s">
        <v>181</v>
      </c>
      <c r="E17" s="288"/>
      <c r="F17" s="288"/>
      <c r="G17" s="288"/>
      <c r="H17" s="288"/>
      <c r="I17" s="288"/>
      <c r="J17" s="288"/>
      <c r="K17" s="288"/>
      <c r="L17" s="288"/>
      <c r="M17" s="288"/>
      <c r="N17" s="289"/>
      <c r="O17" s="19"/>
      <c r="P17" s="19"/>
      <c r="Q17" s="142"/>
      <c r="R17" s="144" t="s">
        <v>382</v>
      </c>
      <c r="S17" s="144"/>
      <c r="T17" s="144"/>
      <c r="U17" s="144"/>
      <c r="V17" s="144"/>
      <c r="W17" s="144"/>
      <c r="X17" s="144"/>
      <c r="Y17" s="145"/>
      <c r="Z17" s="19"/>
    </row>
    <row r="18" spans="1:26" ht="15" customHeight="1" thickBot="1" x14ac:dyDescent="0.3">
      <c r="A18" s="376" t="s">
        <v>373</v>
      </c>
      <c r="B18" s="374"/>
      <c r="C18" s="375"/>
      <c r="D18" s="287" t="s">
        <v>145</v>
      </c>
      <c r="E18" s="288"/>
      <c r="F18" s="288"/>
      <c r="G18" s="288"/>
      <c r="H18" s="288"/>
      <c r="I18" s="288"/>
      <c r="J18" s="288"/>
      <c r="K18" s="288"/>
      <c r="L18" s="288"/>
      <c r="M18" s="288"/>
      <c r="N18" s="289"/>
      <c r="O18" s="19"/>
      <c r="P18" s="19"/>
      <c r="Q18" s="184">
        <v>43881</v>
      </c>
      <c r="R18" s="198" t="s">
        <v>397</v>
      </c>
      <c r="S18" s="56"/>
      <c r="T18" s="56"/>
      <c r="U18" s="56"/>
      <c r="V18" s="56"/>
      <c r="W18" s="56"/>
      <c r="X18" s="56"/>
      <c r="Y18" s="57"/>
      <c r="Z18" s="19"/>
    </row>
    <row r="19" spans="1:26" ht="4.5" customHeight="1" thickBot="1" x14ac:dyDescent="0.3">
      <c r="A19" s="370"/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2"/>
      <c r="O19" s="19"/>
      <c r="P19" s="19"/>
      <c r="Q19" s="401">
        <v>43893</v>
      </c>
      <c r="R19" s="403" t="s">
        <v>454</v>
      </c>
      <c r="S19" s="403"/>
      <c r="T19" s="403"/>
      <c r="U19" s="403"/>
      <c r="V19" s="403"/>
      <c r="W19" s="403"/>
      <c r="X19" s="403"/>
      <c r="Y19" s="404"/>
      <c r="Z19" s="19"/>
    </row>
    <row r="20" spans="1:26" ht="18.75" customHeight="1" thickTop="1" thickBot="1" x14ac:dyDescent="0.3">
      <c r="A20" s="278" t="s">
        <v>18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80"/>
      <c r="O20" s="19"/>
      <c r="P20" s="19"/>
      <c r="Q20" s="402"/>
      <c r="R20" s="405"/>
      <c r="S20" s="405"/>
      <c r="T20" s="405"/>
      <c r="U20" s="405"/>
      <c r="V20" s="405"/>
      <c r="W20" s="405"/>
      <c r="X20" s="405"/>
      <c r="Y20" s="406"/>
      <c r="Z20" s="19"/>
    </row>
    <row r="21" spans="1:26" ht="4.5" customHeight="1" thickTop="1" x14ac:dyDescent="0.25">
      <c r="A21" s="274"/>
      <c r="B21" s="275"/>
      <c r="C21" s="275"/>
      <c r="D21" s="275"/>
      <c r="E21" s="275"/>
      <c r="F21" s="275"/>
      <c r="G21" s="276"/>
      <c r="H21" s="276"/>
      <c r="I21" s="276"/>
      <c r="J21" s="276"/>
      <c r="K21" s="276"/>
      <c r="L21" s="276"/>
      <c r="M21" s="276"/>
      <c r="N21" s="277"/>
      <c r="O21" s="19"/>
      <c r="P21" s="19"/>
      <c r="Q21" s="399">
        <v>43962</v>
      </c>
      <c r="R21" s="385" t="s">
        <v>460</v>
      </c>
      <c r="S21" s="385"/>
      <c r="T21" s="385"/>
      <c r="U21" s="385"/>
      <c r="V21" s="385"/>
      <c r="W21" s="385"/>
      <c r="X21" s="385"/>
      <c r="Y21" s="386"/>
      <c r="Z21" s="19"/>
    </row>
    <row r="22" spans="1:26" ht="15" customHeight="1" thickBot="1" x14ac:dyDescent="0.3">
      <c r="A22" s="307" t="s">
        <v>282</v>
      </c>
      <c r="B22" s="308"/>
      <c r="C22" s="308"/>
      <c r="D22" s="308"/>
      <c r="E22" s="308"/>
      <c r="F22" s="309"/>
      <c r="G22" s="74"/>
      <c r="H22" s="338" t="s">
        <v>284</v>
      </c>
      <c r="I22" s="338"/>
      <c r="J22" s="338"/>
      <c r="K22" s="338"/>
      <c r="L22" s="346"/>
      <c r="M22" s="346"/>
      <c r="N22" s="377"/>
      <c r="O22" s="19"/>
      <c r="P22" s="19"/>
      <c r="Q22" s="400"/>
      <c r="R22" s="387"/>
      <c r="S22" s="387"/>
      <c r="T22" s="387"/>
      <c r="U22" s="387"/>
      <c r="V22" s="387"/>
      <c r="W22" s="387"/>
      <c r="X22" s="387"/>
      <c r="Y22" s="388"/>
      <c r="Z22" s="19"/>
    </row>
    <row r="23" spans="1:26" ht="15" customHeight="1" x14ac:dyDescent="0.25">
      <c r="A23" s="285" t="s">
        <v>0</v>
      </c>
      <c r="B23" s="310" t="s">
        <v>125</v>
      </c>
      <c r="C23" s="360" t="s">
        <v>327</v>
      </c>
      <c r="D23" s="361"/>
      <c r="E23" s="362"/>
      <c r="F23" s="269" t="s">
        <v>156</v>
      </c>
      <c r="G23" s="74"/>
      <c r="H23" s="271" t="s">
        <v>0</v>
      </c>
      <c r="I23" s="271"/>
      <c r="J23" s="271"/>
      <c r="K23" s="271" t="str">
        <f>'Calcs &amp; Signs'!D32</f>
        <v>Rating by RF</v>
      </c>
      <c r="L23" s="272"/>
      <c r="M23" s="272"/>
      <c r="N23" s="273"/>
      <c r="O23" s="19"/>
      <c r="P23" s="19"/>
      <c r="Q23" s="240">
        <v>44185</v>
      </c>
      <c r="R23" s="385" t="s">
        <v>470</v>
      </c>
      <c r="S23" s="385"/>
      <c r="T23" s="385"/>
      <c r="U23" s="385"/>
      <c r="V23" s="385"/>
      <c r="W23" s="385"/>
      <c r="X23" s="385"/>
      <c r="Y23" s="386"/>
      <c r="Z23" s="19"/>
    </row>
    <row r="24" spans="1:26" ht="15" customHeight="1" thickBot="1" x14ac:dyDescent="0.3">
      <c r="A24" s="286"/>
      <c r="B24" s="311"/>
      <c r="C24" s="363" t="s">
        <v>153</v>
      </c>
      <c r="D24" s="364"/>
      <c r="E24" s="365"/>
      <c r="F24" s="270"/>
      <c r="G24" s="74"/>
      <c r="H24" s="271"/>
      <c r="I24" s="271"/>
      <c r="J24" s="271"/>
      <c r="K24" s="272" t="s">
        <v>281</v>
      </c>
      <c r="L24" s="314"/>
      <c r="M24" s="315" t="s">
        <v>283</v>
      </c>
      <c r="N24" s="316"/>
      <c r="O24" s="19"/>
      <c r="P24" s="19"/>
      <c r="Q24" s="142"/>
      <c r="R24" s="387"/>
      <c r="S24" s="387"/>
      <c r="T24" s="387"/>
      <c r="U24" s="387"/>
      <c r="V24" s="387"/>
      <c r="W24" s="387"/>
      <c r="X24" s="387"/>
      <c r="Y24" s="388"/>
      <c r="Z24" s="19"/>
    </row>
    <row r="25" spans="1:26" ht="15" customHeight="1" x14ac:dyDescent="0.25">
      <c r="A25" s="75" t="str">
        <f>'Calcs &amp; Signs'!B14</f>
        <v>2F1</v>
      </c>
      <c r="B25" s="82">
        <f>'Calcs &amp; Signs'!D14</f>
        <v>15</v>
      </c>
      <c r="C25" s="317">
        <v>1.5</v>
      </c>
      <c r="D25" s="318"/>
      <c r="E25" s="319"/>
      <c r="F25" s="76">
        <f>'Calcs &amp; Signs'!E14</f>
        <v>15</v>
      </c>
      <c r="G25" s="74"/>
      <c r="H25" s="353" t="str">
        <f>VLOOKUP(D17,List!P3:R20,3)</f>
        <v>HS20 Loading</v>
      </c>
      <c r="I25" s="353"/>
      <c r="J25" s="353"/>
      <c r="K25" s="320">
        <v>1.25</v>
      </c>
      <c r="L25" s="322"/>
      <c r="M25" s="320">
        <v>1</v>
      </c>
      <c r="N25" s="356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0.5" customHeight="1" x14ac:dyDescent="0.25">
      <c r="A26" s="252" t="str">
        <f>'Calcs &amp; Signs'!B15</f>
        <v>3F1</v>
      </c>
      <c r="B26" s="342">
        <f>'Calcs &amp; Signs'!D15</f>
        <v>23</v>
      </c>
      <c r="C26" s="320">
        <v>1.5</v>
      </c>
      <c r="D26" s="321"/>
      <c r="E26" s="322"/>
      <c r="F26" s="331">
        <f>'Calcs &amp; Signs'!E15</f>
        <v>23</v>
      </c>
      <c r="G26" s="77"/>
      <c r="H26" s="353"/>
      <c r="I26" s="353"/>
      <c r="J26" s="353"/>
      <c r="K26" s="323"/>
      <c r="L26" s="325"/>
      <c r="M26" s="323"/>
      <c r="N26" s="357"/>
    </row>
    <row r="27" spans="1:26" ht="4.5" customHeight="1" x14ac:dyDescent="0.25">
      <c r="A27" s="253"/>
      <c r="B27" s="343"/>
      <c r="C27" s="323"/>
      <c r="D27" s="324"/>
      <c r="E27" s="325"/>
      <c r="F27" s="332"/>
      <c r="G27" s="77"/>
      <c r="H27" s="78"/>
      <c r="I27" s="333"/>
      <c r="J27" s="333"/>
      <c r="K27" s="334"/>
      <c r="L27" s="334"/>
      <c r="M27" s="334"/>
      <c r="N27" s="335"/>
    </row>
    <row r="28" spans="1:26" ht="15" customHeight="1" x14ac:dyDescent="0.25">
      <c r="A28" s="75" t="str">
        <f>'Calcs &amp; Signs'!B16</f>
        <v>4F1</v>
      </c>
      <c r="B28" s="82">
        <f>'Calcs &amp; Signs'!D16</f>
        <v>27</v>
      </c>
      <c r="C28" s="317">
        <v>1.5</v>
      </c>
      <c r="D28" s="318"/>
      <c r="E28" s="319"/>
      <c r="F28" s="76">
        <f>'Calcs &amp; Signs'!E16</f>
        <v>27</v>
      </c>
      <c r="G28" s="77"/>
      <c r="H28" s="297" t="s">
        <v>349</v>
      </c>
      <c r="I28" s="297"/>
      <c r="J28" s="297"/>
      <c r="K28" s="382">
        <f>'Calcs &amp; Signs'!D30</f>
        <v>1.5</v>
      </c>
      <c r="L28" s="383"/>
      <c r="M28" s="383"/>
      <c r="N28" s="384"/>
      <c r="P28" s="1"/>
    </row>
    <row r="29" spans="1:26" ht="15" customHeight="1" x14ac:dyDescent="0.25">
      <c r="A29" s="75" t="str">
        <f>'Calcs &amp; Signs'!B17</f>
        <v>5C1</v>
      </c>
      <c r="B29" s="82">
        <f>'Calcs &amp; Signs'!D17</f>
        <v>40</v>
      </c>
      <c r="C29" s="317">
        <v>1.5</v>
      </c>
      <c r="D29" s="318"/>
      <c r="E29" s="319"/>
      <c r="F29" s="76">
        <f>'Calcs &amp; Signs'!E17</f>
        <v>40</v>
      </c>
      <c r="G29" s="77"/>
      <c r="H29" s="297" t="s">
        <v>350</v>
      </c>
      <c r="I29" s="297"/>
      <c r="J29" s="297"/>
      <c r="K29" s="266" t="str">
        <f>'Calcs &amp; Signs'!D31</f>
        <v>No Load Posting is Recommended</v>
      </c>
      <c r="L29" s="267"/>
      <c r="M29" s="267"/>
      <c r="N29" s="268"/>
      <c r="P29" s="1"/>
    </row>
    <row r="30" spans="1:26" ht="4.5" customHeight="1" x14ac:dyDescent="0.25">
      <c r="A30" s="380"/>
      <c r="B30" s="381"/>
      <c r="C30" s="381"/>
      <c r="D30" s="381"/>
      <c r="E30" s="381"/>
      <c r="F30" s="381"/>
      <c r="G30" s="78"/>
      <c r="H30" s="78"/>
      <c r="I30" s="257"/>
      <c r="J30" s="257"/>
      <c r="K30" s="258"/>
      <c r="L30" s="258"/>
      <c r="M30" s="258"/>
      <c r="N30" s="259"/>
      <c r="P30" s="1"/>
    </row>
    <row r="31" spans="1:26" ht="15" customHeight="1" x14ac:dyDescent="0.25">
      <c r="A31" s="260" t="s">
        <v>148</v>
      </c>
      <c r="B31" s="261"/>
      <c r="C31" s="261"/>
      <c r="D31" s="261"/>
      <c r="E31" s="261"/>
      <c r="F31" s="262"/>
      <c r="G31" s="77"/>
      <c r="H31" s="297" t="s">
        <v>154</v>
      </c>
      <c r="I31" s="297"/>
      <c r="J31" s="297"/>
      <c r="K31" s="354"/>
      <c r="L31" s="354"/>
      <c r="M31" s="354"/>
      <c r="N31" s="355"/>
      <c r="P31" s="1"/>
    </row>
    <row r="32" spans="1:26" ht="15" customHeight="1" x14ac:dyDescent="0.25">
      <c r="A32" s="88" t="str">
        <f>'Calcs &amp; Signs'!B18</f>
        <v>SU4</v>
      </c>
      <c r="B32" s="83">
        <f>'Calcs &amp; Signs'!D18</f>
        <v>27</v>
      </c>
      <c r="C32" s="317">
        <v>1.5</v>
      </c>
      <c r="D32" s="318"/>
      <c r="E32" s="319"/>
      <c r="F32" s="76">
        <f>'Calcs &amp; Signs'!E18</f>
        <v>27</v>
      </c>
      <c r="G32" s="77"/>
      <c r="H32" s="297"/>
      <c r="I32" s="297"/>
      <c r="J32" s="297"/>
      <c r="K32" s="354"/>
      <c r="L32" s="354"/>
      <c r="M32" s="354"/>
      <c r="N32" s="355"/>
      <c r="P32" s="1"/>
    </row>
    <row r="33" spans="1:16" ht="4.5" customHeight="1" x14ac:dyDescent="0.25">
      <c r="A33" s="252" t="str">
        <f>'Calcs &amp; Signs'!B19</f>
        <v>SU5</v>
      </c>
      <c r="B33" s="378">
        <f>'Calcs &amp; Signs'!D19</f>
        <v>31</v>
      </c>
      <c r="C33" s="320">
        <v>1.5</v>
      </c>
      <c r="D33" s="321"/>
      <c r="E33" s="322"/>
      <c r="F33" s="331">
        <f>'Calcs &amp; Signs'!E19</f>
        <v>31</v>
      </c>
      <c r="G33" s="77"/>
      <c r="H33" s="297"/>
      <c r="I33" s="297"/>
      <c r="J33" s="297"/>
      <c r="K33" s="354"/>
      <c r="L33" s="354"/>
      <c r="M33" s="354"/>
      <c r="N33" s="355"/>
      <c r="P33" s="1"/>
    </row>
    <row r="34" spans="1:16" ht="10.5" customHeight="1" x14ac:dyDescent="0.25">
      <c r="A34" s="253"/>
      <c r="B34" s="379"/>
      <c r="C34" s="323"/>
      <c r="D34" s="324"/>
      <c r="E34" s="325"/>
      <c r="F34" s="332"/>
      <c r="G34" s="78"/>
      <c r="H34" s="297"/>
      <c r="I34" s="297"/>
      <c r="J34" s="297"/>
      <c r="K34" s="354"/>
      <c r="L34" s="354"/>
      <c r="M34" s="354"/>
      <c r="N34" s="355"/>
      <c r="P34" s="1"/>
    </row>
    <row r="35" spans="1:16" ht="15" customHeight="1" x14ac:dyDescent="0.25">
      <c r="A35" s="88" t="str">
        <f>'Calcs &amp; Signs'!B20</f>
        <v>SU6</v>
      </c>
      <c r="B35" s="84">
        <f>'Calcs &amp; Signs'!D20</f>
        <v>34.75</v>
      </c>
      <c r="C35" s="317">
        <v>1.5</v>
      </c>
      <c r="D35" s="318"/>
      <c r="E35" s="319"/>
      <c r="F35" s="76">
        <f>'Calcs &amp; Signs'!E20</f>
        <v>34.75</v>
      </c>
      <c r="G35" s="92"/>
      <c r="H35" s="297"/>
      <c r="I35" s="297"/>
      <c r="J35" s="297"/>
      <c r="K35" s="354"/>
      <c r="L35" s="354"/>
      <c r="M35" s="354"/>
      <c r="N35" s="355"/>
    </row>
    <row r="36" spans="1:16" ht="15" customHeight="1" x14ac:dyDescent="0.25">
      <c r="A36" s="90" t="str">
        <f>'Calcs &amp; Signs'!B21</f>
        <v>SU7</v>
      </c>
      <c r="B36" s="84">
        <f>'Calcs &amp; Signs'!D21</f>
        <v>38.75</v>
      </c>
      <c r="C36" s="317">
        <v>1.5</v>
      </c>
      <c r="D36" s="318"/>
      <c r="E36" s="319"/>
      <c r="F36" s="76">
        <f>'Calcs &amp; Signs'!E21</f>
        <v>38.75</v>
      </c>
      <c r="G36" s="92"/>
      <c r="H36" s="297"/>
      <c r="I36" s="297"/>
      <c r="J36" s="297"/>
      <c r="K36" s="354"/>
      <c r="L36" s="354"/>
      <c r="M36" s="354"/>
      <c r="N36" s="355"/>
    </row>
    <row r="37" spans="1:16" ht="4.5" customHeight="1" x14ac:dyDescent="0.25">
      <c r="A37" s="329"/>
      <c r="B37" s="330"/>
      <c r="C37" s="330"/>
      <c r="D37" s="330"/>
      <c r="E37" s="330"/>
      <c r="F37" s="330"/>
      <c r="G37" s="92"/>
      <c r="H37" s="297"/>
      <c r="I37" s="297"/>
      <c r="J37" s="297"/>
      <c r="K37" s="354"/>
      <c r="L37" s="354"/>
      <c r="M37" s="354"/>
      <c r="N37" s="355"/>
    </row>
    <row r="38" spans="1:16" ht="15" customHeight="1" x14ac:dyDescent="0.25">
      <c r="A38" s="254" t="s">
        <v>346</v>
      </c>
      <c r="B38" s="255"/>
      <c r="C38" s="255"/>
      <c r="D38" s="255"/>
      <c r="E38" s="255"/>
      <c r="F38" s="256"/>
      <c r="G38" s="92"/>
      <c r="H38" s="297"/>
      <c r="I38" s="297"/>
      <c r="J38" s="297"/>
      <c r="K38" s="354"/>
      <c r="L38" s="354"/>
      <c r="M38" s="354"/>
      <c r="N38" s="355"/>
    </row>
    <row r="39" spans="1:16" ht="15" customHeight="1" x14ac:dyDescent="0.25">
      <c r="A39" s="263" t="s">
        <v>352</v>
      </c>
      <c r="B39" s="264"/>
      <c r="C39" s="264"/>
      <c r="D39" s="264"/>
      <c r="E39" s="264"/>
      <c r="F39" s="265"/>
      <c r="G39" s="92"/>
      <c r="H39" s="297"/>
      <c r="I39" s="297"/>
      <c r="J39" s="297"/>
      <c r="K39" s="354"/>
      <c r="L39" s="354"/>
      <c r="M39" s="354"/>
      <c r="N39" s="355"/>
    </row>
    <row r="40" spans="1:16" ht="15" customHeight="1" x14ac:dyDescent="0.25">
      <c r="A40" s="79" t="str">
        <f>'Calcs &amp; Signs'!B22</f>
        <v>EV2</v>
      </c>
      <c r="B40" s="85">
        <f>'Calcs &amp; Signs'!D22</f>
        <v>28.75</v>
      </c>
      <c r="C40" s="326">
        <v>1.5</v>
      </c>
      <c r="D40" s="327"/>
      <c r="E40" s="328"/>
      <c r="F40" s="91">
        <f>'Calcs &amp; Signs'!E22</f>
        <v>28.75</v>
      </c>
      <c r="G40" s="92"/>
      <c r="H40" s="297"/>
      <c r="I40" s="297"/>
      <c r="J40" s="297"/>
      <c r="K40" s="354"/>
      <c r="L40" s="354"/>
      <c r="M40" s="354"/>
      <c r="N40" s="355"/>
    </row>
    <row r="41" spans="1:16" ht="15" customHeight="1" x14ac:dyDescent="0.25">
      <c r="A41" s="79" t="str">
        <f>'Calcs &amp; Signs'!B23</f>
        <v>EV3</v>
      </c>
      <c r="B41" s="85">
        <f>'Calcs &amp; Signs'!D23</f>
        <v>43</v>
      </c>
      <c r="C41" s="326">
        <v>1.5</v>
      </c>
      <c r="D41" s="327"/>
      <c r="E41" s="328"/>
      <c r="F41" s="76">
        <f>'Calcs &amp; Signs'!E23</f>
        <v>43</v>
      </c>
      <c r="G41" s="92"/>
      <c r="H41" s="297"/>
      <c r="I41" s="297"/>
      <c r="J41" s="297"/>
      <c r="K41" s="354"/>
      <c r="L41" s="354"/>
      <c r="M41" s="354"/>
      <c r="N41" s="355"/>
    </row>
    <row r="42" spans="1:16" ht="4.5" customHeight="1" x14ac:dyDescent="0.25">
      <c r="A42" s="290"/>
      <c r="B42" s="291"/>
      <c r="C42" s="291"/>
      <c r="D42" s="291"/>
      <c r="E42" s="291"/>
      <c r="F42" s="291"/>
      <c r="G42" s="92"/>
      <c r="H42" s="92"/>
      <c r="I42" s="250"/>
      <c r="J42" s="250"/>
      <c r="K42" s="250"/>
      <c r="L42" s="250"/>
      <c r="M42" s="250"/>
      <c r="N42" s="251"/>
    </row>
    <row r="43" spans="1:16" ht="18.75" customHeight="1" x14ac:dyDescent="0.25">
      <c r="A43" s="307" t="s">
        <v>280</v>
      </c>
      <c r="B43" s="309"/>
      <c r="C43" s="344"/>
      <c r="D43" s="345"/>
      <c r="E43" s="345"/>
      <c r="F43" s="345"/>
      <c r="G43" s="345"/>
      <c r="H43" s="345"/>
      <c r="I43" s="345"/>
      <c r="J43" s="346" t="s">
        <v>356</v>
      </c>
      <c r="K43" s="309"/>
      <c r="L43" s="358">
        <v>43964</v>
      </c>
      <c r="M43" s="358"/>
      <c r="N43" s="359"/>
    </row>
    <row r="44" spans="1:16" ht="4.5" customHeight="1" x14ac:dyDescent="0.25">
      <c r="A44" s="339"/>
      <c r="B44" s="340"/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1"/>
    </row>
    <row r="45" spans="1:16" ht="33.75" customHeight="1" x14ac:dyDescent="0.25">
      <c r="A45" s="81"/>
      <c r="B45" s="338" t="s">
        <v>361</v>
      </c>
      <c r="C45" s="338"/>
      <c r="D45" s="338"/>
      <c r="E45" s="338"/>
      <c r="F45" s="338" t="s">
        <v>362</v>
      </c>
      <c r="G45" s="338"/>
      <c r="H45" s="338"/>
      <c r="I45" s="338"/>
      <c r="J45" s="347"/>
      <c r="K45" s="258"/>
      <c r="L45" s="258"/>
      <c r="M45" s="258"/>
      <c r="N45" s="259"/>
    </row>
    <row r="46" spans="1:16" ht="33.75" customHeight="1" x14ac:dyDescent="0.25">
      <c r="A46" s="87" t="s">
        <v>360</v>
      </c>
      <c r="B46" s="336"/>
      <c r="C46" s="336"/>
      <c r="D46" s="336"/>
      <c r="E46" s="336"/>
      <c r="F46" s="336"/>
      <c r="G46" s="336"/>
      <c r="H46" s="336"/>
      <c r="I46" s="336"/>
      <c r="J46" s="348"/>
      <c r="K46" s="257"/>
      <c r="L46" s="257"/>
      <c r="M46" s="257"/>
      <c r="N46" s="349"/>
    </row>
    <row r="47" spans="1:16" ht="33.75" customHeight="1" x14ac:dyDescent="0.25">
      <c r="A47" s="87" t="s">
        <v>358</v>
      </c>
      <c r="B47" s="336"/>
      <c r="C47" s="336"/>
      <c r="D47" s="336"/>
      <c r="E47" s="336"/>
      <c r="F47" s="336"/>
      <c r="G47" s="336"/>
      <c r="H47" s="336"/>
      <c r="I47" s="336"/>
      <c r="J47" s="348"/>
      <c r="K47" s="257"/>
      <c r="L47" s="257"/>
      <c r="M47" s="257"/>
      <c r="N47" s="349"/>
    </row>
    <row r="48" spans="1:16" ht="33.75" customHeight="1" x14ac:dyDescent="0.25">
      <c r="A48" s="87" t="s">
        <v>357</v>
      </c>
      <c r="B48" s="336"/>
      <c r="C48" s="336"/>
      <c r="D48" s="336"/>
      <c r="E48" s="336"/>
      <c r="F48" s="336"/>
      <c r="G48" s="336"/>
      <c r="H48" s="336"/>
      <c r="I48" s="336"/>
      <c r="J48" s="348"/>
      <c r="K48" s="257"/>
      <c r="L48" s="257"/>
      <c r="M48" s="257"/>
      <c r="N48" s="349"/>
    </row>
    <row r="49" spans="1:14" ht="33.75" customHeight="1" thickBot="1" x14ac:dyDescent="0.3">
      <c r="A49" s="86" t="s">
        <v>359</v>
      </c>
      <c r="B49" s="337"/>
      <c r="C49" s="337"/>
      <c r="D49" s="337"/>
      <c r="E49" s="337"/>
      <c r="F49" s="337"/>
      <c r="G49" s="337"/>
      <c r="H49" s="337"/>
      <c r="I49" s="337"/>
      <c r="J49" s="350"/>
      <c r="K49" s="351"/>
      <c r="L49" s="351"/>
      <c r="M49" s="351"/>
      <c r="N49" s="352"/>
    </row>
    <row r="50" spans="1:14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93" t="s">
        <v>469</v>
      </c>
    </row>
    <row r="51" spans="1:14" x14ac:dyDescent="0.25">
      <c r="A51" s="20" t="s">
        <v>184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25">
      <c r="A52" s="15"/>
    </row>
  </sheetData>
  <sheetProtection sheet="1" selectLockedCells="1"/>
  <mergeCells count="113">
    <mergeCell ref="A13:C13"/>
    <mergeCell ref="Q21:Q22"/>
    <mergeCell ref="R21:Y22"/>
    <mergeCell ref="Q19:Q20"/>
    <mergeCell ref="R19:Y20"/>
    <mergeCell ref="Q11:R11"/>
    <mergeCell ref="P8:Q9"/>
    <mergeCell ref="A4:B5"/>
    <mergeCell ref="C4:F5"/>
    <mergeCell ref="G4:I5"/>
    <mergeCell ref="J4:N4"/>
    <mergeCell ref="J5:K5"/>
    <mergeCell ref="L5:N5"/>
    <mergeCell ref="A7:B7"/>
    <mergeCell ref="A8:B8"/>
    <mergeCell ref="A6:B6"/>
    <mergeCell ref="A9:B9"/>
    <mergeCell ref="C6:F6"/>
    <mergeCell ref="G6:I6"/>
    <mergeCell ref="J6:K6"/>
    <mergeCell ref="L6:N6"/>
    <mergeCell ref="C9:E9"/>
    <mergeCell ref="H23:J24"/>
    <mergeCell ref="B33:B34"/>
    <mergeCell ref="C41:E41"/>
    <mergeCell ref="A30:F30"/>
    <mergeCell ref="K28:N28"/>
    <mergeCell ref="C25:E25"/>
    <mergeCell ref="C26:E27"/>
    <mergeCell ref="C28:E28"/>
    <mergeCell ref="R23:Y23"/>
    <mergeCell ref="R24:Y24"/>
    <mergeCell ref="B47:E47"/>
    <mergeCell ref="B48:E48"/>
    <mergeCell ref="B49:E49"/>
    <mergeCell ref="B45:E45"/>
    <mergeCell ref="A44:N44"/>
    <mergeCell ref="F33:F34"/>
    <mergeCell ref="B26:B27"/>
    <mergeCell ref="C43:I43"/>
    <mergeCell ref="J43:K43"/>
    <mergeCell ref="F45:I45"/>
    <mergeCell ref="F46:I46"/>
    <mergeCell ref="F47:I47"/>
    <mergeCell ref="J45:N49"/>
    <mergeCell ref="H31:J41"/>
    <mergeCell ref="A43:B43"/>
    <mergeCell ref="H25:J26"/>
    <mergeCell ref="H28:J28"/>
    <mergeCell ref="H29:J29"/>
    <mergeCell ref="F48:I48"/>
    <mergeCell ref="F49:I49"/>
    <mergeCell ref="K31:N41"/>
    <mergeCell ref="M25:N26"/>
    <mergeCell ref="K25:L26"/>
    <mergeCell ref="L43:N43"/>
    <mergeCell ref="C32:E32"/>
    <mergeCell ref="C33:E34"/>
    <mergeCell ref="C35:E35"/>
    <mergeCell ref="C36:E36"/>
    <mergeCell ref="C40:E40"/>
    <mergeCell ref="A37:F37"/>
    <mergeCell ref="F26:F27"/>
    <mergeCell ref="I27:N27"/>
    <mergeCell ref="B46:E46"/>
    <mergeCell ref="A15:C15"/>
    <mergeCell ref="D14:N14"/>
    <mergeCell ref="D15:N15"/>
    <mergeCell ref="A22:F22"/>
    <mergeCell ref="B23:B24"/>
    <mergeCell ref="C7:E8"/>
    <mergeCell ref="K24:L24"/>
    <mergeCell ref="M24:N24"/>
    <mergeCell ref="C29:E29"/>
    <mergeCell ref="C23:E23"/>
    <mergeCell ref="C24:E24"/>
    <mergeCell ref="D11:N11"/>
    <mergeCell ref="A11:C11"/>
    <mergeCell ref="D12:N12"/>
    <mergeCell ref="D16:N16"/>
    <mergeCell ref="D17:N17"/>
    <mergeCell ref="D18:N18"/>
    <mergeCell ref="A19:N19"/>
    <mergeCell ref="A12:C12"/>
    <mergeCell ref="A16:C16"/>
    <mergeCell ref="A17:C17"/>
    <mergeCell ref="A18:C18"/>
    <mergeCell ref="A14:C14"/>
    <mergeCell ref="H22:N22"/>
    <mergeCell ref="A1:N1"/>
    <mergeCell ref="A2:N2"/>
    <mergeCell ref="A3:N3"/>
    <mergeCell ref="I42:N42"/>
    <mergeCell ref="A33:A34"/>
    <mergeCell ref="A38:F38"/>
    <mergeCell ref="I30:N30"/>
    <mergeCell ref="A31:F31"/>
    <mergeCell ref="A26:A27"/>
    <mergeCell ref="A39:F39"/>
    <mergeCell ref="K29:N29"/>
    <mergeCell ref="F23:F24"/>
    <mergeCell ref="K23:N23"/>
    <mergeCell ref="A21:N21"/>
    <mergeCell ref="A20:N20"/>
    <mergeCell ref="J9:N9"/>
    <mergeCell ref="F9:I9"/>
    <mergeCell ref="A23:A24"/>
    <mergeCell ref="D13:N13"/>
    <mergeCell ref="A42:F42"/>
    <mergeCell ref="A10:B10"/>
    <mergeCell ref="C10:N10"/>
    <mergeCell ref="F7:I8"/>
    <mergeCell ref="J7:N8"/>
  </mergeCells>
  <conditionalFormatting sqref="J6:K6">
    <cfRule type="expression" dxfId="9" priority="2">
      <formula>"ISTEXT"</formula>
    </cfRule>
  </conditionalFormatting>
  <conditionalFormatting sqref="J6:N6">
    <cfRule type="expression" dxfId="8" priority="1">
      <formula>"ISTEXT($J$6)"</formula>
    </cfRule>
  </conditionalFormatting>
  <dataValidations count="6">
    <dataValidation type="list" errorStyle="information" allowBlank="1" showInputMessage="1" showErrorMessage="1" error="If entered manually the sign posting recommendation will be disabled." sqref="D14:E14" xr:uid="{D825C8D3-C72F-4CEA-BCCC-CB9A4CB8202A}">
      <formula1>Software</formula1>
    </dataValidation>
    <dataValidation type="list" errorStyle="information" allowBlank="1" showInputMessage="1" showErrorMessage="1" error="If entered manually the sign posting recommendation will be disabled." sqref="D12:N12" xr:uid="{E5D21728-96B7-4667-BAC6-8933E8B88939}">
      <formula1>Purpose</formula1>
    </dataValidation>
    <dataValidation type="list" errorStyle="information" allowBlank="1" showInputMessage="1" showErrorMessage="1" error="If entered manually the sign posting recommendation will be disabled." sqref="D16:N16" xr:uid="{836D5F23-10CD-4F5D-A034-5E464F99B52B}">
      <formula1>Source</formula1>
    </dataValidation>
    <dataValidation type="list" errorStyle="information" allowBlank="1" showInputMessage="1" showErrorMessage="1" error="If entered manually the sign posting recommendation will be disabled." sqref="D17:N17" xr:uid="{759B2006-823D-4953-8E5A-DAF834034775}">
      <formula1>Method</formula1>
    </dataValidation>
    <dataValidation type="list" errorStyle="information" allowBlank="1" showInputMessage="1" showErrorMessage="1" error="If entered manually the sign posting recommendation will be disabled." sqref="D18:N18" xr:uid="{18673CA8-8868-467E-B071-88E3C0D4B999}">
      <formula1>Design</formula1>
    </dataValidation>
    <dataValidation type="list" allowBlank="1" showInputMessage="1" showErrorMessage="1" error="Enter a value from 0 to 9" sqref="D13:N13" xr:uid="{0921A6D8-8E59-451C-9AEC-2E5F8B0A62ED}">
      <formula1>"To be determined by inspection,0,1,2,3,4,5,6,7,8,9"</formula1>
    </dataValidation>
  </dataValidations>
  <pageMargins left="0.7" right="0.7" top="0.75" bottom="0.75" header="0.3" footer="0.3"/>
  <pageSetup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37</xdr:row>
                    <xdr:rowOff>142875</xdr:rowOff>
                  </from>
                  <to>
                    <xdr:col>5</xdr:col>
                    <xdr:colOff>133350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4E507417-8B05-47BA-AED4-F93486A82D19}">
            <xm:f>'Calcs &amp; Signs'!$I$3</xm:f>
            <x14:dxf>
              <font>
                <color auto="1"/>
              </font>
            </x14:dxf>
          </x14:cfRule>
          <xm:sqref>C40:C41</xm:sqref>
        </x14:conditionalFormatting>
        <x14:conditionalFormatting xmlns:xm="http://schemas.microsoft.com/office/excel/2006/main">
          <x14:cfRule type="expression" priority="35" id="{9B7F6393-4A79-4719-9E78-D787F327EEAA}">
            <xm:f>'Calcs &amp; Signs'!$I$4="Tons"</xm:f>
            <x14:dxf>
              <numFmt numFmtId="172" formatCode="0.00\ &quot;tons&quot;"/>
            </x14:dxf>
          </x14:cfRule>
          <x14:cfRule type="expression" priority="36" id="{D5235E96-3F19-45D0-9E36-76822D58E4DE}">
            <xm:f>'Calcs &amp; Signs'!$C$63="Error"</xm:f>
            <x14:dxf>
              <fill>
                <patternFill>
                  <bgColor rgb="FFFF0000"/>
                </patternFill>
              </fill>
            </x14:dxf>
          </x14:cfRule>
          <xm:sqref>K25 M25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39F889A2-6DD4-4EC5-AC38-A618178F4453}">
          <x14:formula1>
            <xm:f>IF(ISNA(VLOOKUP(MID(F6,1,3),List!F5:G92,2,FALSE))=TRUE,"From BRIDGE NUMBER or Enter District",VLOOKUP(MID(F6,1,3),List!F5:G92,2))</xm:f>
          </x14:formula1>
          <xm:sqref>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B0F8-703A-46C5-90EC-F04260348884}">
  <sheetPr>
    <pageSetUpPr fitToPage="1"/>
  </sheetPr>
  <dimension ref="B1:L59"/>
  <sheetViews>
    <sheetView showGridLines="0" zoomScale="75" zoomScaleNormal="75" workbookViewId="0">
      <selection activeCell="E5" sqref="E5:F5"/>
    </sheetView>
  </sheetViews>
  <sheetFormatPr defaultRowHeight="15" x14ac:dyDescent="0.25"/>
  <cols>
    <col min="1" max="1" width="2.85546875" customWidth="1"/>
    <col min="2" max="2" width="1.42578125" customWidth="1"/>
    <col min="3" max="3" width="5.42578125" style="14" bestFit="1" customWidth="1"/>
    <col min="4" max="4" width="30" bestFit="1" customWidth="1"/>
    <col min="5" max="6" width="24.5703125" customWidth="1"/>
    <col min="7" max="7" width="4.85546875" customWidth="1"/>
    <col min="8" max="8" width="5.42578125" style="14" bestFit="1" customWidth="1"/>
    <col min="9" max="9" width="30" bestFit="1" customWidth="1"/>
    <col min="10" max="11" width="24.5703125" customWidth="1"/>
    <col min="12" max="12" width="6.42578125" customWidth="1"/>
  </cols>
  <sheetData>
    <row r="1" spans="2:12" ht="15.75" thickBot="1" x14ac:dyDescent="0.3"/>
    <row r="2" spans="2:12" ht="19.5" thickBot="1" x14ac:dyDescent="0.35">
      <c r="B2" s="415" t="str">
        <f>CONCATENATE("SMS INPUT FOR:     ",'BR-100'!C6,"    SFN: ",'BR-100'!A6)</f>
        <v>SMS INPUT FOR:         SFN: 1234567</v>
      </c>
      <c r="C2" s="416"/>
      <c r="D2" s="416"/>
      <c r="E2" s="416"/>
      <c r="F2" s="416"/>
      <c r="G2" s="416"/>
      <c r="H2" s="416"/>
      <c r="I2" s="416"/>
      <c r="J2" s="416"/>
      <c r="K2" s="416"/>
      <c r="L2" s="417"/>
    </row>
    <row r="3" spans="2:12" ht="18.75" customHeight="1" thickBot="1" x14ac:dyDescent="0.3">
      <c r="B3" s="428" t="s">
        <v>441</v>
      </c>
      <c r="C3" s="429"/>
      <c r="D3" s="429"/>
      <c r="E3" s="429"/>
      <c r="F3" s="429"/>
      <c r="G3" s="429"/>
      <c r="H3" s="429"/>
      <c r="I3" s="429"/>
      <c r="J3" s="429"/>
      <c r="K3" s="429"/>
      <c r="L3" s="430"/>
    </row>
    <row r="4" spans="2:12" ht="18.75" customHeight="1" x14ac:dyDescent="0.25">
      <c r="B4" s="21"/>
      <c r="C4" s="22"/>
      <c r="D4" s="23"/>
      <c r="E4" s="23"/>
      <c r="F4" s="23"/>
      <c r="G4" s="23"/>
      <c r="H4" s="22"/>
      <c r="I4" s="23"/>
      <c r="J4" s="23"/>
      <c r="K4" s="23"/>
      <c r="L4" s="24"/>
    </row>
    <row r="5" spans="2:12" ht="18.75" customHeight="1" x14ac:dyDescent="0.25">
      <c r="B5" s="21"/>
      <c r="C5" s="225" t="str">
        <f>"(31)"</f>
        <v>(31)</v>
      </c>
      <c r="D5" s="25" t="s">
        <v>440</v>
      </c>
      <c r="E5" s="413" t="str">
        <f>'BR-100'!D18</f>
        <v>6 - HS20-44 &amp; Alternate Military Loading</v>
      </c>
      <c r="F5" s="414"/>
      <c r="G5" s="23"/>
      <c r="H5" s="22" t="str">
        <f>"(703)"</f>
        <v>(703)</v>
      </c>
      <c r="I5" s="23" t="s">
        <v>439</v>
      </c>
      <c r="J5" s="431">
        <f>IF(E19 = "HS20 Loading", 36, "")</f>
        <v>36</v>
      </c>
      <c r="K5" s="432"/>
      <c r="L5" s="24" t="s">
        <v>405</v>
      </c>
    </row>
    <row r="6" spans="2:12" ht="3" customHeight="1" x14ac:dyDescent="0.25">
      <c r="B6" s="21"/>
      <c r="C6" s="225"/>
      <c r="D6" s="25"/>
      <c r="E6" s="213"/>
      <c r="F6" s="212"/>
      <c r="G6" s="23"/>
      <c r="H6" s="22"/>
      <c r="I6" s="23"/>
      <c r="J6" s="212"/>
      <c r="K6" s="212"/>
      <c r="L6" s="24"/>
    </row>
    <row r="7" spans="2:12" ht="18.75" customHeight="1" x14ac:dyDescent="0.25">
      <c r="B7" s="21"/>
      <c r="C7" s="225" t="str">
        <f>"(63)"</f>
        <v>(63)</v>
      </c>
      <c r="D7" s="25" t="s">
        <v>438</v>
      </c>
      <c r="E7" s="413" t="str">
        <f>'BR-100'!D17</f>
        <v>6 - Load Factor (LF) rating reported by rating factor (RF)</v>
      </c>
      <c r="F7" s="414"/>
      <c r="G7" s="23"/>
      <c r="H7" s="225" t="str">
        <f>"(704)"</f>
        <v>(704)</v>
      </c>
      <c r="I7" s="25" t="s">
        <v>437</v>
      </c>
      <c r="J7" s="424">
        <f>'BR-100'!L43</f>
        <v>43964</v>
      </c>
      <c r="K7" s="425"/>
      <c r="L7" s="24"/>
    </row>
    <row r="8" spans="2:12" ht="3" customHeight="1" x14ac:dyDescent="0.25">
      <c r="B8" s="21"/>
      <c r="C8" s="225"/>
      <c r="D8" s="25"/>
      <c r="E8" s="213"/>
      <c r="F8" s="212"/>
      <c r="G8" s="23"/>
      <c r="H8" s="225"/>
      <c r="I8" s="25"/>
      <c r="J8" s="213"/>
      <c r="K8" s="212"/>
      <c r="L8" s="24"/>
    </row>
    <row r="9" spans="2:12" ht="18.75" customHeight="1" x14ac:dyDescent="0.25">
      <c r="B9" s="21"/>
      <c r="C9" s="225" t="str">
        <f>"(64)"</f>
        <v>(64)</v>
      </c>
      <c r="D9" s="25" t="s">
        <v>436</v>
      </c>
      <c r="E9" s="411">
        <f>IF('Calcs &amp; Signs'!C63="Error",CONCATENATE(TEXT('Calcs &amp; Signs'!C13,"0.000"), " - Inv. Factor &gt; Oper. Factor - Review Rating"),'Calcs &amp; Signs'!C13)</f>
        <v>1.25</v>
      </c>
      <c r="F9" s="412"/>
      <c r="G9" s="23"/>
      <c r="H9" s="22" t="str">
        <f>"(705)"</f>
        <v>(705)</v>
      </c>
      <c r="I9" s="23" t="s">
        <v>435</v>
      </c>
      <c r="J9" s="426" t="str">
        <f>'Calcs &amp; Signs'!M30</f>
        <v/>
      </c>
      <c r="K9" s="427"/>
      <c r="L9" s="24"/>
    </row>
    <row r="10" spans="2:12" ht="3" customHeight="1" x14ac:dyDescent="0.25">
      <c r="B10" s="21"/>
      <c r="C10" s="225"/>
      <c r="D10" s="25"/>
      <c r="E10" s="213"/>
      <c r="F10" s="212"/>
      <c r="G10" s="23"/>
      <c r="H10" s="22"/>
      <c r="I10" s="23"/>
      <c r="J10" s="212"/>
      <c r="K10" s="212"/>
      <c r="L10" s="24"/>
    </row>
    <row r="11" spans="2:12" ht="18.75" customHeight="1" x14ac:dyDescent="0.25">
      <c r="B11" s="21"/>
      <c r="C11" s="225" t="str">
        <f>"(700)"</f>
        <v>(700)</v>
      </c>
      <c r="D11" s="25" t="s">
        <v>434</v>
      </c>
      <c r="E11" s="413" t="str">
        <f>'BR-100'!H25</f>
        <v>HS20 Loading</v>
      </c>
      <c r="F11" s="414"/>
      <c r="G11" s="23"/>
      <c r="H11" s="22" t="str">
        <f>"(706)"</f>
        <v>(706)</v>
      </c>
      <c r="I11" s="23" t="s">
        <v>433</v>
      </c>
      <c r="J11" s="426" t="str">
        <f>'Calcs &amp; Signs'!Q30</f>
        <v/>
      </c>
      <c r="K11" s="427"/>
      <c r="L11" s="24"/>
    </row>
    <row r="12" spans="2:12" ht="3" customHeight="1" x14ac:dyDescent="0.25">
      <c r="B12" s="21"/>
      <c r="C12" s="225"/>
      <c r="D12" s="25"/>
      <c r="E12" s="213"/>
      <c r="F12" s="212"/>
      <c r="G12" s="23"/>
      <c r="H12" s="22"/>
      <c r="I12" s="23"/>
      <c r="J12" s="212"/>
      <c r="K12" s="212"/>
      <c r="L12" s="24"/>
    </row>
    <row r="13" spans="2:12" ht="18.75" customHeight="1" x14ac:dyDescent="0.25">
      <c r="B13" s="21"/>
      <c r="C13" s="22" t="str">
        <f>"(701)"</f>
        <v>(701)</v>
      </c>
      <c r="D13" s="23" t="s">
        <v>432</v>
      </c>
      <c r="E13" s="431">
        <f>IF(E11 = "HS20 Loading", 36, "")</f>
        <v>36</v>
      </c>
      <c r="F13" s="432"/>
      <c r="G13" s="23" t="s">
        <v>405</v>
      </c>
      <c r="H13" s="22" t="str">
        <f>"(707)"</f>
        <v>(707)</v>
      </c>
      <c r="I13" s="23" t="s">
        <v>431</v>
      </c>
      <c r="J13" s="426" t="str">
        <f>'Calcs &amp; Signs'!S30</f>
        <v/>
      </c>
      <c r="K13" s="427"/>
      <c r="L13" s="24"/>
    </row>
    <row r="14" spans="2:12" ht="3" customHeight="1" x14ac:dyDescent="0.25">
      <c r="B14" s="21"/>
      <c r="C14" s="22"/>
      <c r="D14" s="23"/>
      <c r="E14" s="212"/>
      <c r="F14" s="212"/>
      <c r="G14" s="23"/>
      <c r="H14" s="22"/>
      <c r="I14" s="23"/>
      <c r="J14" s="212"/>
      <c r="K14" s="212"/>
      <c r="L14" s="24"/>
    </row>
    <row r="15" spans="2:12" ht="18.75" customHeight="1" x14ac:dyDescent="0.25">
      <c r="B15" s="21"/>
      <c r="C15" s="225" t="str">
        <f>"(65)"</f>
        <v>(65)</v>
      </c>
      <c r="D15" s="25" t="s">
        <v>430</v>
      </c>
      <c r="E15" s="413" t="str">
        <f>'BR-100'!D17</f>
        <v>6 - Load Factor (LF) rating reported by rating factor (RF)</v>
      </c>
      <c r="F15" s="414"/>
      <c r="G15" s="23"/>
      <c r="H15" s="225" t="str">
        <f>"(708)"</f>
        <v>(708)</v>
      </c>
      <c r="I15" s="25" t="s">
        <v>429</v>
      </c>
      <c r="J15" s="413" t="str">
        <f>'BR-100'!D14</f>
        <v>3 - AASHTO  BrR (VIRTIS)</v>
      </c>
      <c r="K15" s="414"/>
      <c r="L15" s="24"/>
    </row>
    <row r="16" spans="2:12" ht="3" customHeight="1" x14ac:dyDescent="0.25">
      <c r="B16" s="21"/>
      <c r="C16" s="225"/>
      <c r="D16" s="25"/>
      <c r="E16" s="213"/>
      <c r="F16" s="212"/>
      <c r="G16" s="23"/>
      <c r="H16" s="225"/>
      <c r="I16" s="25"/>
      <c r="J16" s="213"/>
      <c r="K16" s="212"/>
      <c r="L16" s="24"/>
    </row>
    <row r="17" spans="2:12" ht="18.75" customHeight="1" x14ac:dyDescent="0.25">
      <c r="B17" s="21"/>
      <c r="C17" s="225" t="str">
        <f>"(66)"</f>
        <v>(66)</v>
      </c>
      <c r="D17" s="25" t="s">
        <v>428</v>
      </c>
      <c r="E17" s="411">
        <f>IF('Calcs &amp; Signs'!C63="Error",CONCATENATE(TEXT('Calcs &amp; Signs'!C12,"0.000"), " - Inv. Factor &gt; Oper. Factor - Review Rating"),'Calcs &amp; Signs'!C12)</f>
        <v>1</v>
      </c>
      <c r="F17" s="412"/>
      <c r="G17" s="23"/>
      <c r="H17" s="22" t="str">
        <f>"(709)"</f>
        <v>(709)</v>
      </c>
      <c r="I17" s="23" t="s">
        <v>427</v>
      </c>
      <c r="J17" s="413" t="str">
        <f>'BR-100'!D16</f>
        <v>1 - Plan information available for load rating analysis</v>
      </c>
      <c r="K17" s="414"/>
      <c r="L17" s="24"/>
    </row>
    <row r="18" spans="2:12" ht="3" customHeight="1" x14ac:dyDescent="0.25">
      <c r="B18" s="21"/>
      <c r="C18" s="225"/>
      <c r="D18" s="25"/>
      <c r="E18" s="213"/>
      <c r="F18" s="212"/>
      <c r="G18" s="23"/>
      <c r="H18" s="22"/>
      <c r="I18" s="23"/>
      <c r="J18" s="212"/>
      <c r="K18" s="212"/>
      <c r="L18" s="24"/>
    </row>
    <row r="19" spans="2:12" ht="18.75" customHeight="1" x14ac:dyDescent="0.25">
      <c r="B19" s="21"/>
      <c r="C19" s="225" t="str">
        <f>"(702)"</f>
        <v>(702)</v>
      </c>
      <c r="D19" s="25" t="s">
        <v>426</v>
      </c>
      <c r="E19" s="413" t="str">
        <f>'BR-100'!H25</f>
        <v>HS20 Loading</v>
      </c>
      <c r="F19" s="414"/>
      <c r="G19" s="23"/>
      <c r="H19" s="22" t="str">
        <f>"(711)"</f>
        <v>(711)</v>
      </c>
      <c r="I19" s="23" t="s">
        <v>425</v>
      </c>
      <c r="J19" s="433" t="str">
        <f>'Calcs &amp; Signs'!D47</f>
        <v>S-Satisfactory</v>
      </c>
      <c r="K19" s="414"/>
      <c r="L19" s="24"/>
    </row>
    <row r="20" spans="2:12" ht="3" customHeight="1" thickBot="1" x14ac:dyDescent="0.3">
      <c r="B20" s="21"/>
      <c r="C20" s="225"/>
      <c r="D20" s="25"/>
      <c r="E20" s="213"/>
      <c r="F20" s="212"/>
      <c r="G20" s="23"/>
      <c r="H20" s="22"/>
      <c r="I20" s="23"/>
      <c r="J20" s="23"/>
      <c r="K20" s="212"/>
      <c r="L20" s="24"/>
    </row>
    <row r="21" spans="2:12" ht="18.75" customHeight="1" thickTop="1" thickBot="1" x14ac:dyDescent="0.3">
      <c r="B21" s="21"/>
      <c r="C21" s="228" t="str">
        <f>"(41)"</f>
        <v>(41)</v>
      </c>
      <c r="D21" s="227" t="s">
        <v>424</v>
      </c>
      <c r="E21" s="421"/>
      <c r="F21" s="422"/>
      <c r="G21" s="23"/>
      <c r="H21" s="22"/>
      <c r="I21" s="23"/>
      <c r="J21" s="23"/>
      <c r="K21" s="23"/>
      <c r="L21" s="24"/>
    </row>
    <row r="22" spans="2:12" ht="7.5" customHeight="1" thickTop="1" thickBot="1" x14ac:dyDescent="0.3">
      <c r="B22" s="21"/>
      <c r="C22" s="22"/>
      <c r="D22" s="23"/>
      <c r="E22" s="23"/>
      <c r="F22" s="212"/>
      <c r="G22" s="23"/>
      <c r="H22" s="22"/>
      <c r="I22" s="23"/>
      <c r="J22" s="23"/>
      <c r="K22" s="23"/>
      <c r="L22" s="24"/>
    </row>
    <row r="23" spans="2:12" ht="18.75" customHeight="1" thickTop="1" thickBot="1" x14ac:dyDescent="0.3">
      <c r="B23" s="21"/>
      <c r="C23" s="418" t="s">
        <v>423</v>
      </c>
      <c r="D23" s="419"/>
      <c r="E23" s="419"/>
      <c r="F23" s="420"/>
      <c r="G23" s="23"/>
      <c r="H23" s="23"/>
      <c r="I23" s="23"/>
      <c r="J23" s="23"/>
      <c r="K23" s="23"/>
      <c r="L23" s="24"/>
    </row>
    <row r="24" spans="2:12" ht="7.5" customHeight="1" thickTop="1" thickBot="1" x14ac:dyDescent="0.3">
      <c r="B24" s="21"/>
      <c r="C24" s="22"/>
      <c r="D24" s="23"/>
      <c r="E24" s="23"/>
      <c r="F24" s="23"/>
      <c r="G24" s="23"/>
      <c r="H24" s="22"/>
      <c r="I24" s="23"/>
      <c r="J24" s="23"/>
      <c r="K24" s="23"/>
      <c r="L24" s="24"/>
    </row>
    <row r="25" spans="2:12" ht="18.75" customHeight="1" thickBot="1" x14ac:dyDescent="0.3">
      <c r="B25" s="428" t="s">
        <v>422</v>
      </c>
      <c r="C25" s="429"/>
      <c r="D25" s="429"/>
      <c r="E25" s="429"/>
      <c r="F25" s="429"/>
      <c r="G25" s="429"/>
      <c r="H25" s="429"/>
      <c r="I25" s="429"/>
      <c r="J25" s="429"/>
      <c r="K25" s="429"/>
      <c r="L25" s="430"/>
    </row>
    <row r="26" spans="2:12" ht="18.75" customHeight="1" x14ac:dyDescent="0.25">
      <c r="B26" s="21"/>
      <c r="C26" s="22"/>
      <c r="D26" s="23"/>
      <c r="E26" s="23"/>
      <c r="F26" s="23"/>
      <c r="G26" s="23"/>
      <c r="H26" s="22"/>
      <c r="I26" s="23"/>
      <c r="J26" s="23"/>
      <c r="K26" s="23"/>
      <c r="L26" s="24"/>
    </row>
    <row r="27" spans="2:12" ht="18.75" customHeight="1" x14ac:dyDescent="0.25">
      <c r="B27" s="21"/>
      <c r="C27" s="22" t="str">
        <f>"(715)"</f>
        <v>(715)</v>
      </c>
      <c r="D27" s="23" t="s">
        <v>421</v>
      </c>
      <c r="E27" s="413" t="str">
        <f>'Calcs &amp; Signs'!D38</f>
        <v>2F1</v>
      </c>
      <c r="F27" s="414"/>
      <c r="G27" s="23"/>
      <c r="H27" s="22" t="str">
        <f>"(724)"</f>
        <v>(724)</v>
      </c>
      <c r="I27" s="23" t="s">
        <v>420</v>
      </c>
      <c r="J27" s="413" t="str">
        <f>'Calcs &amp; Signs'!D43</f>
        <v>5C1</v>
      </c>
      <c r="K27" s="414"/>
      <c r="L27" s="24"/>
    </row>
    <row r="28" spans="2:12" ht="3" customHeight="1" x14ac:dyDescent="0.25">
      <c r="B28" s="21"/>
      <c r="C28" s="22"/>
      <c r="D28" s="23"/>
      <c r="E28" s="212"/>
      <c r="F28" s="212"/>
      <c r="G28" s="23"/>
      <c r="H28" s="22"/>
      <c r="I28" s="23"/>
      <c r="J28" s="212"/>
      <c r="K28" s="212"/>
      <c r="L28" s="24"/>
    </row>
    <row r="29" spans="2:12" ht="18.75" customHeight="1" x14ac:dyDescent="0.25">
      <c r="B29" s="21"/>
      <c r="C29" s="22" t="str">
        <f>"(716)"</f>
        <v>(716)</v>
      </c>
      <c r="D29" s="23" t="s">
        <v>419</v>
      </c>
      <c r="E29" s="413">
        <f>'Calcs &amp; Signs'!E38</f>
        <v>15</v>
      </c>
      <c r="F29" s="414"/>
      <c r="G29" s="23" t="s">
        <v>405</v>
      </c>
      <c r="H29" s="22" t="str">
        <f>"(725)"</f>
        <v>(725)</v>
      </c>
      <c r="I29" s="23" t="s">
        <v>418</v>
      </c>
      <c r="J29" s="413">
        <f>'Calcs &amp; Signs'!E43</f>
        <v>40</v>
      </c>
      <c r="K29" s="414"/>
      <c r="L29" s="24" t="s">
        <v>405</v>
      </c>
    </row>
    <row r="30" spans="2:12" ht="3" customHeight="1" x14ac:dyDescent="0.25">
      <c r="B30" s="21"/>
      <c r="C30" s="22"/>
      <c r="D30" s="23"/>
      <c r="E30" s="212"/>
      <c r="F30" s="212"/>
      <c r="G30" s="23"/>
      <c r="H30" s="22"/>
      <c r="I30" s="23"/>
      <c r="J30" s="212"/>
      <c r="K30" s="212"/>
      <c r="L30" s="24"/>
    </row>
    <row r="31" spans="2:12" ht="18.75" customHeight="1" x14ac:dyDescent="0.25">
      <c r="B31" s="21"/>
      <c r="C31" s="22" t="str">
        <f>"(717)"</f>
        <v>(717)</v>
      </c>
      <c r="D31" s="23" t="s">
        <v>417</v>
      </c>
      <c r="E31" s="411">
        <f>'Calcs &amp; Signs'!C38</f>
        <v>1.5</v>
      </c>
      <c r="F31" s="412"/>
      <c r="G31" s="23"/>
      <c r="H31" s="22" t="str">
        <f>"(726)"</f>
        <v>(726)</v>
      </c>
      <c r="I31" s="23" t="s">
        <v>416</v>
      </c>
      <c r="J31" s="411">
        <f>'Calcs &amp; Signs'!C43</f>
        <v>1.5</v>
      </c>
      <c r="K31" s="412"/>
      <c r="L31" s="24"/>
    </row>
    <row r="32" spans="2:12" ht="3" customHeight="1" x14ac:dyDescent="0.25">
      <c r="B32" s="21"/>
      <c r="C32" s="22"/>
      <c r="D32" s="23"/>
      <c r="E32" s="212"/>
      <c r="F32" s="212"/>
      <c r="G32" s="23"/>
      <c r="H32" s="22"/>
      <c r="I32" s="23"/>
      <c r="J32" s="212"/>
      <c r="K32" s="226"/>
      <c r="L32" s="24"/>
    </row>
    <row r="33" spans="2:12" ht="18.75" customHeight="1" x14ac:dyDescent="0.25">
      <c r="B33" s="21"/>
      <c r="C33" s="22" t="str">
        <f>"(718)"</f>
        <v>(718)</v>
      </c>
      <c r="D33" s="23" t="s">
        <v>415</v>
      </c>
      <c r="E33" s="413" t="str">
        <f>'Calcs &amp; Signs'!D39</f>
        <v>3F1</v>
      </c>
      <c r="F33" s="414"/>
      <c r="G33" s="23"/>
      <c r="H33" s="22" t="str">
        <f>"(727)"</f>
        <v>(727)</v>
      </c>
      <c r="I33" s="23" t="s">
        <v>414</v>
      </c>
      <c r="J33" s="413" t="str">
        <f>'Calcs &amp; Signs'!D41</f>
        <v>SU5</v>
      </c>
      <c r="K33" s="414"/>
      <c r="L33" s="24"/>
    </row>
    <row r="34" spans="2:12" ht="3" customHeight="1" x14ac:dyDescent="0.25">
      <c r="B34" s="21"/>
      <c r="C34" s="22"/>
      <c r="D34" s="23"/>
      <c r="E34" s="212"/>
      <c r="F34" s="212"/>
      <c r="G34" s="23"/>
      <c r="H34" s="22"/>
      <c r="I34" s="23"/>
      <c r="J34" s="212"/>
      <c r="K34" s="212"/>
      <c r="L34" s="24"/>
    </row>
    <row r="35" spans="2:12" ht="18.75" customHeight="1" x14ac:dyDescent="0.25">
      <c r="B35" s="21"/>
      <c r="C35" s="22" t="str">
        <f>"(719)"</f>
        <v>(719)</v>
      </c>
      <c r="D35" s="23" t="s">
        <v>413</v>
      </c>
      <c r="E35" s="413">
        <f>'Calcs &amp; Signs'!E39</f>
        <v>23</v>
      </c>
      <c r="F35" s="414"/>
      <c r="G35" s="23" t="s">
        <v>405</v>
      </c>
      <c r="H35" s="22" t="str">
        <f>"(728)"</f>
        <v>(728)</v>
      </c>
      <c r="I35" s="23" t="s">
        <v>412</v>
      </c>
      <c r="J35" s="413">
        <f>'Calcs &amp; Signs'!E41</f>
        <v>31</v>
      </c>
      <c r="K35" s="414"/>
      <c r="L35" s="24" t="s">
        <v>405</v>
      </c>
    </row>
    <row r="36" spans="2:12" ht="3" customHeight="1" x14ac:dyDescent="0.25">
      <c r="B36" s="21"/>
      <c r="C36" s="22"/>
      <c r="D36" s="23"/>
      <c r="E36" s="212"/>
      <c r="F36" s="212"/>
      <c r="G36" s="23"/>
      <c r="H36" s="22"/>
      <c r="I36" s="23"/>
      <c r="J36" s="212"/>
      <c r="K36" s="212"/>
      <c r="L36" s="24"/>
    </row>
    <row r="37" spans="2:12" ht="18.75" customHeight="1" x14ac:dyDescent="0.25">
      <c r="B37" s="21"/>
      <c r="C37" s="22" t="str">
        <f>"(720)"</f>
        <v>(720)</v>
      </c>
      <c r="D37" s="23" t="s">
        <v>411</v>
      </c>
      <c r="E37" s="411">
        <f>'Calcs &amp; Signs'!C39</f>
        <v>1.5</v>
      </c>
      <c r="F37" s="412"/>
      <c r="G37" s="23"/>
      <c r="H37" s="22" t="str">
        <f>"(729)"</f>
        <v>(729)</v>
      </c>
      <c r="I37" s="23" t="s">
        <v>410</v>
      </c>
      <c r="J37" s="411">
        <f>'Calcs &amp; Signs'!C41</f>
        <v>1.5</v>
      </c>
      <c r="K37" s="412"/>
      <c r="L37" s="24"/>
    </row>
    <row r="38" spans="2:12" ht="3" customHeight="1" x14ac:dyDescent="0.25">
      <c r="B38" s="21"/>
      <c r="C38" s="22"/>
      <c r="D38" s="23"/>
      <c r="E38" s="212"/>
      <c r="F38" s="212"/>
      <c r="G38" s="23"/>
      <c r="H38" s="22"/>
      <c r="I38" s="23"/>
      <c r="J38" s="212"/>
      <c r="K38" s="212"/>
      <c r="L38" s="24"/>
    </row>
    <row r="39" spans="2:12" ht="18.75" customHeight="1" x14ac:dyDescent="0.25">
      <c r="B39" s="21"/>
      <c r="C39" s="22" t="str">
        <f>"(721)"</f>
        <v>(721)</v>
      </c>
      <c r="D39" s="23" t="s">
        <v>409</v>
      </c>
      <c r="E39" s="413" t="str">
        <f>'Calcs &amp; Signs'!D40</f>
        <v>4F1</v>
      </c>
      <c r="F39" s="414"/>
      <c r="G39" s="23"/>
      <c r="H39" s="22" t="str">
        <f>"(730)"</f>
        <v>(730)</v>
      </c>
      <c r="I39" s="23" t="s">
        <v>408</v>
      </c>
      <c r="J39" s="413" t="str">
        <f>'Calcs &amp; Signs'!D42</f>
        <v>SU6</v>
      </c>
      <c r="K39" s="414"/>
      <c r="L39" s="24"/>
    </row>
    <row r="40" spans="2:12" ht="3" customHeight="1" x14ac:dyDescent="0.25">
      <c r="B40" s="21"/>
      <c r="C40" s="22"/>
      <c r="D40" s="23"/>
      <c r="E40" s="212"/>
      <c r="F40" s="212"/>
      <c r="G40" s="23"/>
      <c r="H40" s="22"/>
      <c r="I40" s="23"/>
      <c r="J40" s="212"/>
      <c r="K40" s="212"/>
      <c r="L40" s="24"/>
    </row>
    <row r="41" spans="2:12" ht="18.75" customHeight="1" x14ac:dyDescent="0.25">
      <c r="B41" s="21"/>
      <c r="C41" s="22" t="str">
        <f>"(722)"</f>
        <v>(722)</v>
      </c>
      <c r="D41" s="23" t="s">
        <v>407</v>
      </c>
      <c r="E41" s="413">
        <f>'Calcs &amp; Signs'!E40</f>
        <v>27</v>
      </c>
      <c r="F41" s="414"/>
      <c r="G41" s="23" t="s">
        <v>405</v>
      </c>
      <c r="H41" s="22" t="str">
        <f>"(731)"</f>
        <v>(731)</v>
      </c>
      <c r="I41" s="23" t="s">
        <v>406</v>
      </c>
      <c r="J41" s="413">
        <f>'Calcs &amp; Signs'!E42</f>
        <v>34.75</v>
      </c>
      <c r="K41" s="414"/>
      <c r="L41" s="24" t="s">
        <v>405</v>
      </c>
    </row>
    <row r="42" spans="2:12" ht="3" customHeight="1" x14ac:dyDescent="0.25">
      <c r="B42" s="21"/>
      <c r="C42" s="22"/>
      <c r="D42" s="23"/>
      <c r="E42" s="212"/>
      <c r="F42" s="212"/>
      <c r="G42" s="23"/>
      <c r="H42" s="22"/>
      <c r="I42" s="23"/>
      <c r="J42" s="212"/>
      <c r="K42" s="212"/>
      <c r="L42" s="24"/>
    </row>
    <row r="43" spans="2:12" ht="18.75" customHeight="1" x14ac:dyDescent="0.25">
      <c r="B43" s="21"/>
      <c r="C43" s="22" t="str">
        <f>"(723)"</f>
        <v>(723)</v>
      </c>
      <c r="D43" s="23" t="s">
        <v>404</v>
      </c>
      <c r="E43" s="411">
        <f>'Calcs &amp; Signs'!C40</f>
        <v>1.5</v>
      </c>
      <c r="F43" s="412"/>
      <c r="G43" s="23"/>
      <c r="H43" s="22" t="str">
        <f>"(732)"</f>
        <v>(732)</v>
      </c>
      <c r="I43" s="23" t="s">
        <v>403</v>
      </c>
      <c r="J43" s="411">
        <f>'Calcs &amp; Signs'!C42</f>
        <v>1.5</v>
      </c>
      <c r="K43" s="412"/>
      <c r="L43" s="24"/>
    </row>
    <row r="44" spans="2:12" ht="3" customHeight="1" x14ac:dyDescent="0.25">
      <c r="B44" s="21"/>
      <c r="C44" s="22"/>
      <c r="D44" s="23"/>
      <c r="E44" s="212"/>
      <c r="F44" s="212"/>
      <c r="G44" s="23"/>
      <c r="H44" s="22"/>
      <c r="I44" s="23"/>
      <c r="J44" s="212"/>
      <c r="K44" s="212"/>
      <c r="L44" s="24"/>
    </row>
    <row r="45" spans="2:12" ht="18.75" customHeight="1" x14ac:dyDescent="0.25">
      <c r="B45" s="21"/>
      <c r="C45" s="225" t="str">
        <f>"(70)"</f>
        <v>(70)</v>
      </c>
      <c r="D45" s="25" t="s">
        <v>185</v>
      </c>
      <c r="E45" s="413" t="str">
        <f>'Calcs &amp; Signs'!D49</f>
        <v>5 - Equal to or above legal loads</v>
      </c>
      <c r="F45" s="414"/>
      <c r="G45" s="23"/>
      <c r="H45" s="22" t="str">
        <f>"(733)"</f>
        <v>(733)</v>
      </c>
      <c r="I45" s="23" t="s">
        <v>402</v>
      </c>
      <c r="J45" s="413" t="str">
        <f>IF(OR('Calcs &amp; Signs'!C26="Yes",'Calcs &amp; Signs'!C27="Yes"),"Y","N")</f>
        <v>N</v>
      </c>
      <c r="K45" s="414"/>
      <c r="L45" s="24"/>
    </row>
    <row r="46" spans="2:12" ht="3" customHeight="1" x14ac:dyDescent="0.25">
      <c r="B46" s="21"/>
      <c r="C46" s="225"/>
      <c r="D46" s="25"/>
      <c r="E46" s="25"/>
      <c r="F46" s="212"/>
      <c r="G46" s="23"/>
      <c r="H46" s="22"/>
      <c r="I46" s="23"/>
      <c r="J46" s="212"/>
      <c r="K46" s="212"/>
      <c r="L46" s="24"/>
    </row>
    <row r="47" spans="2:12" ht="18.75" customHeight="1" x14ac:dyDescent="0.25">
      <c r="B47" s="21"/>
      <c r="C47" s="22"/>
      <c r="D47" s="23"/>
      <c r="E47" s="23"/>
      <c r="F47" s="23"/>
      <c r="G47" s="23"/>
      <c r="H47" s="22" t="str">
        <f>"(734)"</f>
        <v>(734)</v>
      </c>
      <c r="I47" s="23" t="s">
        <v>401</v>
      </c>
      <c r="J47" s="409">
        <f>'Calcs &amp; Signs'!D30*100</f>
        <v>150</v>
      </c>
      <c r="K47" s="410"/>
      <c r="L47" s="24" t="s">
        <v>400</v>
      </c>
    </row>
    <row r="48" spans="2:12" ht="18.75" customHeight="1" x14ac:dyDescent="0.25">
      <c r="B48" s="21"/>
      <c r="C48" s="22"/>
      <c r="D48" s="23"/>
      <c r="E48" s="23"/>
      <c r="F48" s="23"/>
      <c r="G48" s="23"/>
      <c r="H48" s="22"/>
      <c r="I48" s="23"/>
      <c r="J48" s="23"/>
      <c r="K48" s="23"/>
      <c r="L48" s="24"/>
    </row>
    <row r="49" spans="2:12" x14ac:dyDescent="0.25">
      <c r="B49" s="21"/>
      <c r="C49" s="23"/>
      <c r="D49" s="23"/>
      <c r="E49" s="23"/>
      <c r="F49" s="23"/>
      <c r="G49" s="23"/>
      <c r="H49" s="23"/>
      <c r="I49" s="23"/>
      <c r="J49" s="23"/>
      <c r="K49" s="23"/>
      <c r="L49" s="24"/>
    </row>
    <row r="50" spans="2:12" x14ac:dyDescent="0.25">
      <c r="B50" s="21"/>
      <c r="C50" s="23" t="s">
        <v>399</v>
      </c>
      <c r="D50" s="23"/>
      <c r="E50" s="23"/>
      <c r="F50" s="23"/>
      <c r="G50" s="23"/>
      <c r="H50" s="23"/>
      <c r="I50" s="23"/>
      <c r="J50" s="23"/>
      <c r="K50" s="23"/>
      <c r="L50" s="24"/>
    </row>
    <row r="51" spans="2:12" x14ac:dyDescent="0.25">
      <c r="B51" s="21"/>
      <c r="C51" s="224"/>
      <c r="D51" s="223"/>
      <c r="E51" s="223"/>
      <c r="F51" s="223"/>
      <c r="G51" s="223"/>
      <c r="H51" s="223"/>
      <c r="I51" s="223"/>
      <c r="J51" s="223"/>
      <c r="K51" s="222"/>
      <c r="L51" s="24"/>
    </row>
    <row r="52" spans="2:12" x14ac:dyDescent="0.25">
      <c r="B52" s="21"/>
      <c r="C52" s="221"/>
      <c r="D52" s="423" t="str">
        <f>IF('Calcs &amp; Signs'!I3=TRUE,CONCATENATE('Calcs &amp; Signs'!B22,":  GVW = ", TEXT('Calcs &amp; Signs'!D22, "0.00"), " tons, Rating Factor = ",TEXT('Calcs &amp; Signs'!C22, "0.000")),"")</f>
        <v>EV2:  GVW = 28.75 tons, Rating Factor = 1.500</v>
      </c>
      <c r="E52" s="423"/>
      <c r="F52" s="220"/>
      <c r="G52" s="220"/>
      <c r="H52" s="220"/>
      <c r="I52" s="220"/>
      <c r="J52" s="220"/>
      <c r="K52" s="219"/>
      <c r="L52" s="24"/>
    </row>
    <row r="53" spans="2:12" x14ac:dyDescent="0.25">
      <c r="B53" s="21"/>
      <c r="C53" s="221"/>
      <c r="D53" s="423" t="str">
        <f>IF('Calcs &amp; Signs'!I3=TRUE,CONCATENATE('Calcs &amp; Signs'!B23,":  GVW = ", TEXT('Calcs &amp; Signs'!D23, "0.00"), " tons, Rating Factor = ",TEXT('Calcs &amp; Signs'!C23, "0.000")),"")</f>
        <v>EV3:  GVW = 43.00 tons, Rating Factor = 1.500</v>
      </c>
      <c r="E53" s="423"/>
      <c r="F53" s="220"/>
      <c r="G53" s="220"/>
      <c r="H53" s="220"/>
      <c r="I53" s="220"/>
      <c r="J53" s="220"/>
      <c r="K53" s="219"/>
      <c r="L53" s="24"/>
    </row>
    <row r="54" spans="2:12" x14ac:dyDescent="0.25">
      <c r="B54" s="21"/>
      <c r="C54" s="221"/>
      <c r="D54" s="220"/>
      <c r="E54" s="220"/>
      <c r="F54" s="220"/>
      <c r="G54" s="220"/>
      <c r="H54" s="220"/>
      <c r="I54" s="220"/>
      <c r="J54" s="220"/>
      <c r="K54" s="219"/>
      <c r="L54" s="24"/>
    </row>
    <row r="55" spans="2:12" x14ac:dyDescent="0.25">
      <c r="B55" s="21"/>
      <c r="C55" s="221"/>
      <c r="D55" s="220"/>
      <c r="E55" s="220"/>
      <c r="F55" s="220"/>
      <c r="G55" s="220"/>
      <c r="H55" s="220"/>
      <c r="I55" s="220"/>
      <c r="J55" s="220"/>
      <c r="K55" s="219"/>
      <c r="L55" s="24"/>
    </row>
    <row r="56" spans="2:12" x14ac:dyDescent="0.25">
      <c r="B56" s="21"/>
      <c r="C56" s="221"/>
      <c r="D56" s="220"/>
      <c r="E56" s="220"/>
      <c r="F56" s="220"/>
      <c r="G56" s="220"/>
      <c r="H56" s="220"/>
      <c r="I56" s="220"/>
      <c r="J56" s="220"/>
      <c r="K56" s="219"/>
      <c r="L56" s="24"/>
    </row>
    <row r="57" spans="2:12" x14ac:dyDescent="0.25">
      <c r="B57" s="21"/>
      <c r="C57" s="221"/>
      <c r="D57" s="220"/>
      <c r="E57" s="220"/>
      <c r="F57" s="220"/>
      <c r="G57" s="220"/>
      <c r="H57" s="220"/>
      <c r="I57" s="220"/>
      <c r="J57" s="220"/>
      <c r="K57" s="219"/>
      <c r="L57" s="24"/>
    </row>
    <row r="58" spans="2:12" x14ac:dyDescent="0.25">
      <c r="B58" s="21"/>
      <c r="C58" s="218"/>
      <c r="D58" s="217"/>
      <c r="E58" s="217"/>
      <c r="F58" s="217"/>
      <c r="G58" s="217"/>
      <c r="H58" s="217"/>
      <c r="I58" s="217"/>
      <c r="J58" s="217"/>
      <c r="K58" s="216"/>
      <c r="L58" s="24"/>
    </row>
    <row r="59" spans="2:12" ht="15.75" thickBot="1" x14ac:dyDescent="0.3">
      <c r="B59" s="28"/>
      <c r="C59" s="215"/>
      <c r="D59" s="215"/>
      <c r="E59" s="215"/>
      <c r="F59" s="215"/>
      <c r="G59" s="215"/>
      <c r="H59" s="215"/>
      <c r="I59" s="215"/>
      <c r="J59" s="215"/>
      <c r="K59" s="215"/>
      <c r="L59" s="29"/>
    </row>
  </sheetData>
  <sheetProtection sheet="1" objects="1" scenarios="1"/>
  <mergeCells count="44">
    <mergeCell ref="B3:L3"/>
    <mergeCell ref="B25:L25"/>
    <mergeCell ref="E5:F5"/>
    <mergeCell ref="E7:F7"/>
    <mergeCell ref="E9:F9"/>
    <mergeCell ref="E11:F11"/>
    <mergeCell ref="E13:F13"/>
    <mergeCell ref="E15:F15"/>
    <mergeCell ref="E17:F17"/>
    <mergeCell ref="E19:F19"/>
    <mergeCell ref="J15:K15"/>
    <mergeCell ref="J17:K17"/>
    <mergeCell ref="J19:K19"/>
    <mergeCell ref="J5:K5"/>
    <mergeCell ref="J43:K43"/>
    <mergeCell ref="J7:K7"/>
    <mergeCell ref="J9:K9"/>
    <mergeCell ref="E29:F29"/>
    <mergeCell ref="E31:F31"/>
    <mergeCell ref="E33:F33"/>
    <mergeCell ref="J11:K11"/>
    <mergeCell ref="J13:K13"/>
    <mergeCell ref="D52:E52"/>
    <mergeCell ref="D53:E53"/>
    <mergeCell ref="E39:F39"/>
    <mergeCell ref="E41:F41"/>
    <mergeCell ref="E43:F43"/>
    <mergeCell ref="E45:F45"/>
    <mergeCell ref="J47:K47"/>
    <mergeCell ref="J37:K37"/>
    <mergeCell ref="J45:K45"/>
    <mergeCell ref="J35:K35"/>
    <mergeCell ref="B2:L2"/>
    <mergeCell ref="J29:K29"/>
    <mergeCell ref="J31:K31"/>
    <mergeCell ref="J33:K33"/>
    <mergeCell ref="E27:F27"/>
    <mergeCell ref="J27:K27"/>
    <mergeCell ref="C23:F23"/>
    <mergeCell ref="E21:F21"/>
    <mergeCell ref="E35:F35"/>
    <mergeCell ref="E37:F37"/>
    <mergeCell ref="J39:K39"/>
    <mergeCell ref="J41:K41"/>
  </mergeCells>
  <conditionalFormatting sqref="E9:F9 E17:F17">
    <cfRule type="expression" dxfId="4" priority="1">
      <formula>#REF!="Yes"</formula>
    </cfRule>
  </conditionalFormatting>
  <dataValidations disablePrompts="1" count="1">
    <dataValidation type="list" allowBlank="1" showInputMessage="1" showErrorMessage="1" sqref="E21:F21" xr:uid="{00000000-0002-0000-0100-000000000000}">
      <formula1>OpenPostedClosed</formula1>
    </dataValidation>
  </dataValidations>
  <pageMargins left="0.7" right="0.7" top="0.75" bottom="0.75" header="0.3" footer="0.3"/>
  <pageSetup scale="67" orientation="landscape" r:id="rId1"/>
  <cellWatches>
    <cellWatch r="E27"/>
    <cellWatch r="E31"/>
    <cellWatch r="E33"/>
    <cellWatch r="E37"/>
    <cellWatch r="E39"/>
    <cellWatch r="E43"/>
    <cellWatch r="J27"/>
    <cellWatch r="J31"/>
    <cellWatch r="J33"/>
    <cellWatch r="J37"/>
    <cellWatch r="J39"/>
    <cellWatch r="J43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A611F05-75EF-44BC-B00D-107C5F63BE4C}">
            <xm:f>'C:\Users\Jfisher5\Desktop\[New_BR100.xlsx]Calcs &amp; Signs'!#REF!="Error"</xm:f>
            <x14:dxf>
              <font>
                <color rgb="FFFF0000"/>
              </font>
            </x14:dxf>
          </x14:cfRule>
          <xm:sqref>E9:F9 E17:F17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V67"/>
  <sheetViews>
    <sheetView showGridLines="0" topLeftCell="A28" zoomScale="75" zoomScaleNormal="75" workbookViewId="0">
      <selection activeCell="B2" sqref="B2:G2"/>
    </sheetView>
  </sheetViews>
  <sheetFormatPr defaultRowHeight="15" x14ac:dyDescent="0.25"/>
  <cols>
    <col min="1" max="1" width="2.85546875" customWidth="1"/>
    <col min="2" max="2" width="1.42578125" customWidth="1"/>
    <col min="3" max="3" width="23.7109375" style="14" customWidth="1"/>
    <col min="4" max="4" width="23.7109375" customWidth="1"/>
    <col min="5" max="6" width="34.85546875" customWidth="1"/>
    <col min="7" max="7" width="1.28515625" customWidth="1"/>
    <col min="8" max="8" width="2.85546875" customWidth="1"/>
  </cols>
  <sheetData>
    <row r="1" spans="2:22" ht="15.75" thickBot="1" x14ac:dyDescent="0.3"/>
    <row r="2" spans="2:22" ht="19.5" thickBot="1" x14ac:dyDescent="0.35">
      <c r="B2" s="415" t="str">
        <f>CONCATENATE("AssetWise Input For:     ",'BR-100'!C6,"    SFN: ",'BR-100'!A6)</f>
        <v>AssetWise Input For:         SFN: 1234567</v>
      </c>
      <c r="C2" s="416"/>
      <c r="D2" s="416"/>
      <c r="E2" s="416"/>
      <c r="F2" s="416"/>
      <c r="G2" s="417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2:22" ht="18.75" x14ac:dyDescent="0.3">
      <c r="B3" s="447"/>
      <c r="C3" s="447"/>
      <c r="D3" s="447"/>
      <c r="E3" s="447"/>
      <c r="F3" s="447"/>
      <c r="G3" s="447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2:22" ht="18.75" x14ac:dyDescent="0.3">
      <c r="B4" s="131"/>
      <c r="C4" s="132" t="s">
        <v>457</v>
      </c>
      <c r="D4" s="131"/>
      <c r="E4" s="131"/>
      <c r="F4" s="131"/>
      <c r="G4" s="131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2:22" ht="2.25" customHeight="1" thickBot="1" x14ac:dyDescent="0.35">
      <c r="B5" s="127"/>
      <c r="C5" s="130"/>
      <c r="D5" s="127"/>
      <c r="E5" s="127"/>
      <c r="F5" s="127"/>
      <c r="G5" s="12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2:22" ht="18.75" customHeight="1" thickBot="1" x14ac:dyDescent="0.3">
      <c r="B6" s="442" t="s">
        <v>374</v>
      </c>
      <c r="C6" s="443"/>
      <c r="D6" s="443"/>
      <c r="E6" s="443"/>
      <c r="F6" s="443"/>
      <c r="G6" s="444"/>
      <c r="H6" s="60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2:22" ht="6.75" customHeight="1" x14ac:dyDescent="0.25">
      <c r="B7" s="117"/>
      <c r="C7" s="118"/>
      <c r="D7" s="119"/>
      <c r="E7" s="119"/>
      <c r="F7" s="119"/>
      <c r="G7" s="1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2:22" ht="20.100000000000001" customHeight="1" x14ac:dyDescent="0.25">
      <c r="B8" s="21"/>
      <c r="C8" s="445" t="str">
        <f>"(31) Design Load"</f>
        <v>(31) Design Load</v>
      </c>
      <c r="D8" s="446"/>
      <c r="E8" s="413" t="str">
        <f>'Calcs &amp; Signs'!D74</f>
        <v>5 - HS20</v>
      </c>
      <c r="F8" s="414"/>
      <c r="G8" s="24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2:22" ht="3" customHeight="1" x14ac:dyDescent="0.25">
      <c r="B9" s="21"/>
      <c r="C9" s="26"/>
      <c r="D9" s="26"/>
      <c r="E9" s="26"/>
      <c r="F9" s="27"/>
      <c r="G9" s="24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2:22" ht="20.100000000000001" customHeight="1" x14ac:dyDescent="0.25">
      <c r="B10" s="21"/>
      <c r="C10" s="445" t="str">
        <f>"(63) Operation Rating Method"</f>
        <v>(63) Operation Rating Method</v>
      </c>
      <c r="D10" s="446"/>
      <c r="E10" s="413" t="str">
        <f>'BR-100'!D17</f>
        <v>6 - Load Factor (LF) rating reported by rating factor (RF)</v>
      </c>
      <c r="F10" s="414"/>
      <c r="G10" s="24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2:22" ht="3" customHeight="1" x14ac:dyDescent="0.25">
      <c r="B11" s="21"/>
      <c r="C11" s="26"/>
      <c r="D11" s="26"/>
      <c r="E11" s="26"/>
      <c r="F11" s="27"/>
      <c r="G11" s="2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2:22" ht="20.100000000000001" customHeight="1" x14ac:dyDescent="0.25">
      <c r="B12" s="21"/>
      <c r="C12" s="445" t="str">
        <f>"(64) Operating Rating Factor"</f>
        <v>(64) Operating Rating Factor</v>
      </c>
      <c r="D12" s="446"/>
      <c r="E12" s="431">
        <f>IF('Calcs &amp; Signs'!C63="Error",CONCATENATE(TEXT('Calcs &amp; Signs'!C13,"0.000"), " - Inv. Factor &gt; Oper. Factor - Review Rating"),'Calcs &amp; Signs'!C13)</f>
        <v>1.25</v>
      </c>
      <c r="F12" s="432"/>
      <c r="G12" s="24" t="str">
        <f>IF('Calcs &amp; Signs'!I4="RF","","tons")</f>
        <v/>
      </c>
      <c r="H12" s="19"/>
      <c r="I12" s="19"/>
      <c r="J12" s="23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2:22" ht="3" customHeight="1" x14ac:dyDescent="0.25">
      <c r="B13" s="21"/>
      <c r="C13" s="26"/>
      <c r="D13" s="26"/>
      <c r="E13" s="26"/>
      <c r="F13" s="27"/>
      <c r="G13" s="24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2:22" ht="20.100000000000001" customHeight="1" x14ac:dyDescent="0.25">
      <c r="B14" s="21"/>
      <c r="C14" s="445" t="str">
        <f>"(65) Inventory Rating Method"</f>
        <v>(65) Inventory Rating Method</v>
      </c>
      <c r="D14" s="446"/>
      <c r="E14" s="413" t="str">
        <f>'BR-100'!D17</f>
        <v>6 - Load Factor (LF) rating reported by rating factor (RF)</v>
      </c>
      <c r="F14" s="414"/>
      <c r="G14" s="24"/>
      <c r="H14" s="19"/>
      <c r="I14" s="19"/>
      <c r="J14" s="19"/>
      <c r="K14" s="19"/>
      <c r="L14" s="23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2:22" ht="3" customHeight="1" x14ac:dyDescent="0.25">
      <c r="B15" s="21"/>
      <c r="C15" s="26"/>
      <c r="D15" s="25"/>
      <c r="E15" s="26"/>
      <c r="F15" s="27"/>
      <c r="G15" s="24"/>
      <c r="H15" s="19"/>
      <c r="I15" s="19"/>
      <c r="J15" s="19"/>
      <c r="K15" s="19"/>
      <c r="L15" s="23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2:22" ht="20.100000000000001" customHeight="1" x14ac:dyDescent="0.25">
      <c r="B16" s="21"/>
      <c r="C16" s="445" t="str">
        <f>"(66) Inventory Rating Factor"</f>
        <v>(66) Inventory Rating Factor</v>
      </c>
      <c r="D16" s="446"/>
      <c r="E16" s="431">
        <f>IF('Calcs &amp; Signs'!C63="Error",CONCATENATE(TEXT('Calcs &amp; Signs'!C12,"0.000"), " - Inv. Factor &gt; Oper. Factor - Review Rating"),'Calcs &amp; Signs'!C12)</f>
        <v>1</v>
      </c>
      <c r="F16" s="432"/>
      <c r="G16" s="2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2:22" ht="3" customHeight="1" x14ac:dyDescent="0.25">
      <c r="B17" s="21"/>
      <c r="C17" s="22"/>
      <c r="D17" s="23"/>
      <c r="E17" s="27"/>
      <c r="F17" s="27"/>
      <c r="G17" s="2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2:22" ht="20.100000000000001" customHeight="1" x14ac:dyDescent="0.25">
      <c r="B18" s="21"/>
      <c r="C18" s="445" t="str">
        <f>"(70) Bridge Posting"</f>
        <v>(70) Bridge Posting</v>
      </c>
      <c r="D18" s="446"/>
      <c r="E18" s="413" t="str">
        <f>'Calcs &amp; Signs'!D49</f>
        <v>5 - Equal to or above legal loads</v>
      </c>
      <c r="F18" s="414"/>
      <c r="G18" s="18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2:22" ht="3" customHeight="1" x14ac:dyDescent="0.25">
      <c r="B19" s="21"/>
      <c r="C19" s="22"/>
      <c r="D19" s="23"/>
      <c r="E19" s="27"/>
      <c r="F19" s="27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2:22" ht="20.100000000000001" customHeight="1" x14ac:dyDescent="0.25">
      <c r="B20" s="21"/>
      <c r="C20" s="453" t="str">
        <f>"(70.01) Date Posted"</f>
        <v>(70.01) Date Posted</v>
      </c>
      <c r="D20" s="454"/>
      <c r="E20" s="450" t="s">
        <v>453</v>
      </c>
      <c r="F20" s="451"/>
      <c r="G20" s="24"/>
      <c r="H20" s="19"/>
      <c r="I20" s="235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2:22" ht="3" customHeight="1" x14ac:dyDescent="0.25">
      <c r="B21" s="21"/>
      <c r="C21" s="125"/>
      <c r="D21" s="26"/>
      <c r="E21" s="26"/>
      <c r="F21" s="27"/>
      <c r="G21" s="24"/>
      <c r="H21" s="19"/>
      <c r="I21" s="235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2:22" ht="20.100000000000001" customHeight="1" x14ac:dyDescent="0.25">
      <c r="B22" s="21"/>
      <c r="C22" s="453" t="str">
        <f>"(70.02) Posted Sign Type"</f>
        <v>(70.02) Posted Sign Type</v>
      </c>
      <c r="D22" s="454"/>
      <c r="E22" s="455" t="s">
        <v>453</v>
      </c>
      <c r="F22" s="456"/>
      <c r="G22" s="24" t="str">
        <f>IF('Calcs &amp; Signs'!I4="RF","","tons")</f>
        <v/>
      </c>
      <c r="H22" s="19"/>
      <c r="I22" s="235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2:22" ht="3" customHeight="1" x14ac:dyDescent="0.25">
      <c r="B23" s="21"/>
      <c r="C23" s="125"/>
      <c r="D23" s="26"/>
      <c r="E23" s="26"/>
      <c r="F23" s="27"/>
      <c r="G23" s="24"/>
      <c r="H23" s="19"/>
      <c r="I23" s="235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2:22" ht="20.100000000000001" customHeight="1" x14ac:dyDescent="0.25">
      <c r="B24" s="21"/>
      <c r="C24" s="453" t="str">
        <f>"(70.03) Posted Weight"</f>
        <v>(70.03) Posted Weight</v>
      </c>
      <c r="D24" s="454"/>
      <c r="E24" s="450" t="s">
        <v>453</v>
      </c>
      <c r="F24" s="451"/>
      <c r="G24" s="24"/>
      <c r="H24" s="19"/>
      <c r="I24" s="235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2:22" ht="7.5" customHeight="1" thickBot="1" x14ac:dyDescent="0.3">
      <c r="B25" s="28"/>
      <c r="C25" s="121"/>
      <c r="D25" s="122"/>
      <c r="E25" s="123"/>
      <c r="F25" s="124"/>
      <c r="G25" s="2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2:22" ht="18.75" customHeight="1" x14ac:dyDescent="0.25">
      <c r="B26" s="126"/>
      <c r="C26" s="115"/>
      <c r="D26" s="114"/>
      <c r="E26" s="452"/>
      <c r="F26" s="452"/>
      <c r="G26" s="114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2:22" ht="18.75" customHeight="1" x14ac:dyDescent="0.3">
      <c r="B27" s="114"/>
      <c r="C27" s="132" t="s">
        <v>458</v>
      </c>
      <c r="D27" s="114"/>
      <c r="E27" s="114"/>
      <c r="F27" s="116"/>
      <c r="G27" s="114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2:22" ht="3" customHeight="1" thickBot="1" x14ac:dyDescent="0.3">
      <c r="B28" s="114"/>
      <c r="C28" s="436"/>
      <c r="D28" s="436"/>
      <c r="E28" s="436"/>
      <c r="F28" s="436"/>
      <c r="G28" s="114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2:22" ht="18.75" customHeight="1" thickBot="1" x14ac:dyDescent="0.3">
      <c r="B29" s="437" t="s">
        <v>375</v>
      </c>
      <c r="C29" s="438"/>
      <c r="D29" s="438"/>
      <c r="E29" s="438"/>
      <c r="F29" s="438"/>
      <c r="G29" s="43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2:22" ht="6.75" customHeight="1" x14ac:dyDescent="0.25">
      <c r="B30" s="117"/>
      <c r="C30" s="118"/>
      <c r="D30" s="119"/>
      <c r="E30" s="119"/>
      <c r="F30" s="119"/>
      <c r="G30" s="120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2:22" ht="20.100000000000001" customHeight="1" x14ac:dyDescent="0.25">
      <c r="B31" s="21"/>
      <c r="C31" s="440" t="str">
        <f>"(717) 2F1 Operating Rating Factor (GVW 15 T)"</f>
        <v>(717) 2F1 Operating Rating Factor (GVW 15 T)</v>
      </c>
      <c r="D31" s="441"/>
      <c r="E31" s="411">
        <f>'Calcs &amp; Signs'!C14</f>
        <v>1.5</v>
      </c>
      <c r="F31" s="412"/>
      <c r="G31" s="24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2:22" ht="3" customHeight="1" x14ac:dyDescent="0.25">
      <c r="B32" s="21"/>
      <c r="C32" s="128"/>
      <c r="D32" s="128"/>
      <c r="E32" s="27"/>
      <c r="F32" s="27"/>
      <c r="G32" s="24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2:22" ht="20.100000000000001" customHeight="1" x14ac:dyDescent="0.25">
      <c r="B33" s="21"/>
      <c r="C33" s="440" t="str">
        <f>"(720) 3F1 Operating Rating Factor (GVW 23 T)"</f>
        <v>(720) 3F1 Operating Rating Factor (GVW 23 T)</v>
      </c>
      <c r="D33" s="441"/>
      <c r="E33" s="411">
        <f>'Calcs &amp; Signs'!C15</f>
        <v>1.5</v>
      </c>
      <c r="F33" s="412"/>
      <c r="G33" s="24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2:22" ht="3" customHeight="1" x14ac:dyDescent="0.25">
      <c r="B34" s="21"/>
      <c r="C34" s="128"/>
      <c r="D34" s="128"/>
      <c r="E34" s="27"/>
      <c r="F34" s="27"/>
      <c r="G34" s="24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2:22" ht="20.100000000000001" customHeight="1" x14ac:dyDescent="0.25">
      <c r="B35" s="21"/>
      <c r="C35" s="440" t="str">
        <f>"(723.01) 4F1 Operating Rating Factor (GVW 27 T)"</f>
        <v>(723.01) 4F1 Operating Rating Factor (GVW 27 T)</v>
      </c>
      <c r="D35" s="441"/>
      <c r="E35" s="411">
        <f>'Calcs &amp; Signs'!C16</f>
        <v>1.5</v>
      </c>
      <c r="F35" s="412"/>
      <c r="G35" s="24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2:22" ht="3" customHeight="1" x14ac:dyDescent="0.25">
      <c r="B36" s="21"/>
      <c r="C36" s="128"/>
      <c r="D36" s="128"/>
      <c r="E36" s="27"/>
      <c r="F36" s="27"/>
      <c r="G36" s="24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2:22" ht="20.100000000000001" customHeight="1" x14ac:dyDescent="0.25">
      <c r="B37" s="21"/>
      <c r="C37" s="440" t="str">
        <f>"(726.01) 5C1 Operating Rating Factor (GVW 40 T)"</f>
        <v>(726.01) 5C1 Operating Rating Factor (GVW 40 T)</v>
      </c>
      <c r="D37" s="441"/>
      <c r="E37" s="411">
        <f>'Calcs &amp; Signs'!C17</f>
        <v>1.5</v>
      </c>
      <c r="F37" s="412"/>
      <c r="G37" s="24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2:22" ht="3" customHeight="1" x14ac:dyDescent="0.25">
      <c r="B38" s="21"/>
      <c r="C38" s="128"/>
      <c r="D38" s="128"/>
      <c r="E38" s="27"/>
      <c r="F38" s="27"/>
      <c r="G38" s="24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2:22" ht="20.100000000000001" customHeight="1" x14ac:dyDescent="0.25">
      <c r="B39" s="21"/>
      <c r="C39" s="440" t="str">
        <f>"(723.02) SU4 Operating Rating Factor (GVW 27 T)"</f>
        <v>(723.02) SU4 Operating Rating Factor (GVW 27 T)</v>
      </c>
      <c r="D39" s="441"/>
      <c r="E39" s="411">
        <f>'Calcs &amp; Signs'!C18</f>
        <v>1.5</v>
      </c>
      <c r="F39" s="412"/>
      <c r="G39" s="24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2:22" ht="3" customHeight="1" x14ac:dyDescent="0.25">
      <c r="B40" s="21"/>
      <c r="C40" s="128"/>
      <c r="D40" s="128"/>
      <c r="E40" s="27"/>
      <c r="F40" s="27"/>
      <c r="G40" s="24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2:22" ht="20.100000000000001" customHeight="1" x14ac:dyDescent="0.25">
      <c r="B41" s="21"/>
      <c r="C41" s="440" t="str">
        <f>"(726.02) SU5 Operating Rating Factor (GVW 31 T)"</f>
        <v>(726.02) SU5 Operating Rating Factor (GVW 31 T)</v>
      </c>
      <c r="D41" s="441"/>
      <c r="E41" s="411">
        <f>'Calcs &amp; Signs'!C19</f>
        <v>1.5</v>
      </c>
      <c r="F41" s="412"/>
      <c r="G41" s="24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2:22" ht="3" customHeight="1" x14ac:dyDescent="0.25">
      <c r="B42" s="21"/>
      <c r="C42" s="128"/>
      <c r="D42" s="128"/>
      <c r="E42" s="27"/>
      <c r="F42" s="27"/>
      <c r="G42" s="24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2:22" ht="20.100000000000001" customHeight="1" x14ac:dyDescent="0.25">
      <c r="B43" s="21"/>
      <c r="C43" s="440" t="str">
        <f>"(732.01) SU6 Operating Rating Factor (GVW 34.75 T)"</f>
        <v>(732.01) SU6 Operating Rating Factor (GVW 34.75 T)</v>
      </c>
      <c r="D43" s="441"/>
      <c r="E43" s="411">
        <f>'Calcs &amp; Signs'!C20</f>
        <v>1.5</v>
      </c>
      <c r="F43" s="412"/>
      <c r="G43" s="24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2:22" ht="3" customHeight="1" x14ac:dyDescent="0.25">
      <c r="B44" s="21"/>
      <c r="C44" s="128"/>
      <c r="D44" s="128"/>
      <c r="E44" s="27"/>
      <c r="F44" s="27"/>
      <c r="G44" s="24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2:22" ht="20.100000000000001" customHeight="1" x14ac:dyDescent="0.25">
      <c r="B45" s="21"/>
      <c r="C45" s="440" t="str">
        <f>"(732.02) SU7 Operating Rating Factor (GVW 38.75 T)"</f>
        <v>(732.02) SU7 Operating Rating Factor (GVW 38.75 T)</v>
      </c>
      <c r="D45" s="441"/>
      <c r="E45" s="411">
        <f>'Calcs &amp; Signs'!C21</f>
        <v>1.5</v>
      </c>
      <c r="F45" s="412"/>
      <c r="G45" s="24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2:22" ht="3" customHeight="1" x14ac:dyDescent="0.25">
      <c r="B46" s="21"/>
      <c r="C46" s="128"/>
      <c r="D46" s="128"/>
      <c r="E46" s="27"/>
      <c r="F46" s="27"/>
      <c r="G46" s="24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2:22" ht="20.25" customHeight="1" x14ac:dyDescent="0.25">
      <c r="B47" s="21"/>
      <c r="C47" s="440" t="str">
        <f>"(735) EV2 Operating Rating Factor (GVW 28.75 T)"</f>
        <v>(735) EV2 Operating Rating Factor (GVW 28.75 T)</v>
      </c>
      <c r="D47" s="440"/>
      <c r="E47" s="411">
        <f>'Calcs &amp; Signs'!C22</f>
        <v>1.5</v>
      </c>
      <c r="F47" s="412"/>
      <c r="G47" s="24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2:22" ht="3" customHeight="1" x14ac:dyDescent="0.25">
      <c r="B48" s="21"/>
      <c r="C48" s="440"/>
      <c r="D48" s="440"/>
      <c r="E48" s="27"/>
      <c r="F48" s="27"/>
      <c r="G48" s="24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2:22" ht="19.5" customHeight="1" x14ac:dyDescent="0.25">
      <c r="B49" s="21"/>
      <c r="C49" s="440" t="str">
        <f>"(738) EV3 Operating Rating Factor (GVW 43 T)"</f>
        <v>(738) EV3 Operating Rating Factor (GVW 43 T)</v>
      </c>
      <c r="D49" s="441"/>
      <c r="E49" s="411">
        <f>'Calcs &amp; Signs'!C23</f>
        <v>1.5</v>
      </c>
      <c r="F49" s="412"/>
      <c r="G49" s="24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2:22" ht="3" customHeight="1" x14ac:dyDescent="0.25">
      <c r="B50" s="21"/>
      <c r="C50" s="128"/>
      <c r="D50" s="128"/>
      <c r="E50" s="27"/>
      <c r="F50" s="27"/>
      <c r="G50" s="24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2:22" ht="19.5" customHeight="1" x14ac:dyDescent="0.25">
      <c r="B51" s="21"/>
      <c r="C51" s="440" t="str">
        <f>"(734) Ohio Percent Legal"</f>
        <v>(734) Ohio Percent Legal</v>
      </c>
      <c r="D51" s="441"/>
      <c r="E51" s="434">
        <f>'Calcs &amp; Signs'!D30*100</f>
        <v>150</v>
      </c>
      <c r="F51" s="435"/>
      <c r="G51" s="24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2:22" ht="3" customHeight="1" x14ac:dyDescent="0.25">
      <c r="B52" s="21"/>
      <c r="C52" s="128"/>
      <c r="D52" s="128"/>
      <c r="E52" s="27"/>
      <c r="F52" s="27"/>
      <c r="G52" s="24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2:22" ht="20.100000000000001" customHeight="1" x14ac:dyDescent="0.25">
      <c r="B53" s="21"/>
      <c r="C53" s="440" t="str">
        <f>"(705) Load Rater First Name"</f>
        <v>(705) Load Rater First Name</v>
      </c>
      <c r="D53" s="441"/>
      <c r="E53" s="413" t="str">
        <f>'Calcs &amp; Signs'!M30</f>
        <v/>
      </c>
      <c r="F53" s="414"/>
      <c r="G53" s="24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2:22" ht="3" customHeight="1" x14ac:dyDescent="0.25">
      <c r="B54" s="21"/>
      <c r="C54" s="440"/>
      <c r="D54" s="441"/>
      <c r="E54" s="27"/>
      <c r="F54" s="27"/>
      <c r="G54" s="24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2:22" ht="20.100000000000001" customHeight="1" x14ac:dyDescent="0.25">
      <c r="B55" s="21"/>
      <c r="C55" s="440" t="str">
        <f>"(706)Load Rater Last Name"</f>
        <v>(706)Load Rater Last Name</v>
      </c>
      <c r="D55" s="441"/>
      <c r="E55" s="413" t="str">
        <f>'Calcs &amp; Signs'!Q30</f>
        <v/>
      </c>
      <c r="F55" s="414"/>
      <c r="G55" s="24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2:22" ht="3" customHeight="1" x14ac:dyDescent="0.25">
      <c r="B56" s="21"/>
      <c r="C56" s="440"/>
      <c r="D56" s="441"/>
      <c r="E56" s="27"/>
      <c r="F56" s="27"/>
      <c r="G56" s="18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2:22" ht="20.100000000000001" customHeight="1" x14ac:dyDescent="0.25">
      <c r="B57" s="21"/>
      <c r="C57" s="440" t="str">
        <f>"(707)Load Rater PE Number"</f>
        <v>(707)Load Rater PE Number</v>
      </c>
      <c r="D57" s="441"/>
      <c r="E57" s="413" t="str">
        <f>'Calcs &amp; Signs'!S30</f>
        <v/>
      </c>
      <c r="F57" s="414"/>
      <c r="G57" s="18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2:22" ht="3" customHeight="1" x14ac:dyDescent="0.25">
      <c r="B58" s="21"/>
      <c r="C58" s="440"/>
      <c r="D58" s="441"/>
      <c r="E58" s="190"/>
      <c r="F58" s="190"/>
      <c r="G58" s="18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2:22" ht="20.100000000000001" customHeight="1" x14ac:dyDescent="0.25">
      <c r="B59" s="21"/>
      <c r="C59" s="440" t="str">
        <f>"(704) Load Rating Date"</f>
        <v>(704) Load Rating Date</v>
      </c>
      <c r="D59" s="441"/>
      <c r="E59" s="448">
        <f>'Calcs &amp; Signs'!C7</f>
        <v>43964</v>
      </c>
      <c r="F59" s="449"/>
      <c r="G59" s="18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2:22" ht="3" customHeight="1" x14ac:dyDescent="0.25">
      <c r="B60" s="21"/>
      <c r="C60" s="128"/>
      <c r="D60" s="129"/>
      <c r="E60" s="190"/>
      <c r="F60" s="190"/>
      <c r="G60" s="18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2:22" ht="20.100000000000001" customHeight="1" x14ac:dyDescent="0.25">
      <c r="B61" s="21"/>
      <c r="C61" s="440" t="str">
        <f>"(708) Load Rating Software"</f>
        <v>(708) Load Rating Software</v>
      </c>
      <c r="D61" s="441"/>
      <c r="E61" s="413" t="str">
        <f>'BR-100'!D14</f>
        <v>3 - AASHTO  BrR (VIRTIS)</v>
      </c>
      <c r="F61" s="414"/>
      <c r="G61" s="18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2:22" ht="3" customHeight="1" x14ac:dyDescent="0.25">
      <c r="B62" s="21"/>
      <c r="C62" s="128"/>
      <c r="D62" s="129"/>
      <c r="E62" s="190"/>
      <c r="F62" s="190"/>
      <c r="G62" s="18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2:22" ht="20.100000000000001" customHeight="1" x14ac:dyDescent="0.25">
      <c r="B63" s="21"/>
      <c r="C63" s="440" t="str">
        <f>"(709)Rating Source"</f>
        <v>(709)Rating Source</v>
      </c>
      <c r="D63" s="441"/>
      <c r="E63" s="413" t="str">
        <f>'BR-100'!D16</f>
        <v>1 - Plan information available for load rating analysis</v>
      </c>
      <c r="F63" s="414"/>
      <c r="G63" s="18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2:22" ht="6.75" customHeight="1" thickBot="1" x14ac:dyDescent="0.3">
      <c r="B64" s="191"/>
      <c r="C64" s="192"/>
      <c r="D64" s="193"/>
      <c r="E64" s="193"/>
      <c r="F64" s="193"/>
      <c r="G64" s="194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2:22" x14ac:dyDescent="0.25">
      <c r="B65" s="19"/>
      <c r="C65" s="195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2:22" x14ac:dyDescent="0.25">
      <c r="B66" s="19"/>
      <c r="C66" s="195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2:22" x14ac:dyDescent="0.25">
      <c r="B67" s="19"/>
      <c r="C67" s="19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</sheetData>
  <sheetProtection sheet="1" objects="1" scenarios="1"/>
  <mergeCells count="61">
    <mergeCell ref="C61:D61"/>
    <mergeCell ref="C63:D63"/>
    <mergeCell ref="C43:D43"/>
    <mergeCell ref="C45:D45"/>
    <mergeCell ref="C47:D48"/>
    <mergeCell ref="C49:D49"/>
    <mergeCell ref="C59:D59"/>
    <mergeCell ref="C58:D58"/>
    <mergeCell ref="C57:D57"/>
    <mergeCell ref="C54:D54"/>
    <mergeCell ref="C56:D56"/>
    <mergeCell ref="C51:D51"/>
    <mergeCell ref="C53:D53"/>
    <mergeCell ref="C55:D55"/>
    <mergeCell ref="C24:D24"/>
    <mergeCell ref="E22:F22"/>
    <mergeCell ref="E24:F24"/>
    <mergeCell ref="C33:D33"/>
    <mergeCell ref="C35:D35"/>
    <mergeCell ref="C14:D14"/>
    <mergeCell ref="C16:D16"/>
    <mergeCell ref="C20:D20"/>
    <mergeCell ref="C18:D18"/>
    <mergeCell ref="C22:D22"/>
    <mergeCell ref="E14:F14"/>
    <mergeCell ref="E16:F16"/>
    <mergeCell ref="E20:F20"/>
    <mergeCell ref="E18:F18"/>
    <mergeCell ref="E26:F26"/>
    <mergeCell ref="E61:F61"/>
    <mergeCell ref="E63:F63"/>
    <mergeCell ref="E59:F59"/>
    <mergeCell ref="E53:F53"/>
    <mergeCell ref="E55:F55"/>
    <mergeCell ref="E57:F57"/>
    <mergeCell ref="B6:G6"/>
    <mergeCell ref="B2:G2"/>
    <mergeCell ref="C8:D8"/>
    <mergeCell ref="C10:D10"/>
    <mergeCell ref="C12:D12"/>
    <mergeCell ref="B3:G3"/>
    <mergeCell ref="E8:F8"/>
    <mergeCell ref="E10:F10"/>
    <mergeCell ref="E12:F12"/>
    <mergeCell ref="E37:F37"/>
    <mergeCell ref="E39:F39"/>
    <mergeCell ref="E41:F41"/>
    <mergeCell ref="E31:F31"/>
    <mergeCell ref="C28:F28"/>
    <mergeCell ref="B29:G29"/>
    <mergeCell ref="E33:F33"/>
    <mergeCell ref="E35:F35"/>
    <mergeCell ref="C31:D31"/>
    <mergeCell ref="C37:D37"/>
    <mergeCell ref="C39:D39"/>
    <mergeCell ref="C41:D41"/>
    <mergeCell ref="E49:F49"/>
    <mergeCell ref="E43:F43"/>
    <mergeCell ref="E45:F45"/>
    <mergeCell ref="E51:F51"/>
    <mergeCell ref="E47:F47"/>
  </mergeCells>
  <conditionalFormatting sqref="E12:F12 E22:F22">
    <cfRule type="expression" dxfId="2" priority="4">
      <formula>#REF!="Yes"</formula>
    </cfRule>
  </conditionalFormatting>
  <conditionalFormatting sqref="E16:F16">
    <cfRule type="expression" dxfId="1" priority="1">
      <formula>#REF!="Yes"</formula>
    </cfRule>
  </conditionalFormatting>
  <pageMargins left="0.7" right="0.7" top="0.75" bottom="0.75" header="0.3" footer="0.3"/>
  <pageSetup scale="72" orientation="portrait" r:id="rId1"/>
  <cellWatches>
    <cellWatch r="E31"/>
    <cellWatch r="E35"/>
    <cellWatch r="E37"/>
    <cellWatch r="E41"/>
    <cellWatch r="E43"/>
    <cellWatch r="E51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DB2661EA-468A-4384-A5EA-C62A48F05F7C}">
            <xm:f>'Calcs &amp; Signs'!$C$63="Error"</xm:f>
            <x14:dxf>
              <font>
                <color rgb="FFFF0000"/>
              </font>
            </x14:dxf>
          </x14:cfRule>
          <xm:sqref>E12:F12 E22:F22 E16:F16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4"/>
  <sheetViews>
    <sheetView zoomScale="75" zoomScaleNormal="75" workbookViewId="0">
      <selection activeCell="H29" sqref="H29"/>
    </sheetView>
  </sheetViews>
  <sheetFormatPr defaultColWidth="9.140625" defaultRowHeight="15" x14ac:dyDescent="0.25"/>
  <cols>
    <col min="1" max="1" width="9.140625" style="19"/>
    <col min="2" max="2" width="23.5703125" style="19" customWidth="1"/>
    <col min="3" max="3" width="9" style="19" customWidth="1"/>
    <col min="4" max="4" width="10.28515625" style="19" customWidth="1"/>
    <col min="5" max="5" width="6.85546875" style="19" customWidth="1"/>
    <col min="6" max="6" width="5.42578125" style="19" customWidth="1"/>
    <col min="7" max="7" width="9.140625" style="19"/>
    <col min="8" max="8" width="14" style="19" customWidth="1"/>
    <col min="9" max="9" width="9.140625" style="19"/>
    <col min="10" max="10" width="3.7109375" style="19" customWidth="1"/>
    <col min="11" max="11" width="8.5703125" style="19" customWidth="1"/>
    <col min="12" max="12" width="3.140625" style="19" customWidth="1"/>
    <col min="13" max="13" width="5.42578125" style="19" customWidth="1"/>
    <col min="14" max="14" width="7.140625" style="19" customWidth="1"/>
    <col min="15" max="15" width="2.85546875" style="19" customWidth="1"/>
    <col min="16" max="16" width="7.85546875" style="19" customWidth="1"/>
    <col min="17" max="17" width="8" style="19" customWidth="1"/>
    <col min="18" max="18" width="2.85546875" style="19" customWidth="1"/>
    <col min="19" max="19" width="9" style="19" customWidth="1"/>
    <col min="20" max="20" width="6.140625" style="19" customWidth="1"/>
    <col min="21" max="21" width="2.85546875" style="19" customWidth="1"/>
    <col min="22" max="23" width="8.140625" style="19" customWidth="1"/>
    <col min="24" max="24" width="2.85546875" style="19" customWidth="1"/>
    <col min="25" max="26" width="9.140625" style="19"/>
    <col min="27" max="27" width="2.7109375" style="19" customWidth="1"/>
    <col min="28" max="28" width="3.140625" style="19" customWidth="1"/>
    <col min="29" max="29" width="5.42578125" style="19" customWidth="1"/>
    <col min="30" max="30" width="7.140625" style="19" customWidth="1"/>
    <col min="31" max="16384" width="9.140625" style="19"/>
  </cols>
  <sheetData>
    <row r="1" spans="1:31" ht="15.75" thickBot="1" x14ac:dyDescent="0.3"/>
    <row r="2" spans="1:31" ht="15.75" thickBot="1" x14ac:dyDescent="0.3">
      <c r="B2" s="482" t="s">
        <v>376</v>
      </c>
      <c r="C2" s="483"/>
    </row>
    <row r="3" spans="1:31" ht="15.75" thickBot="1" x14ac:dyDescent="0.3">
      <c r="B3" s="499" t="s">
        <v>328</v>
      </c>
      <c r="C3" s="500"/>
      <c r="D3" s="30">
        <v>0.97499999999999998</v>
      </c>
      <c r="G3" s="31"/>
      <c r="H3" s="32" t="s">
        <v>347</v>
      </c>
      <c r="I3" s="73" t="b">
        <v>1</v>
      </c>
      <c r="K3" s="499" t="s">
        <v>300</v>
      </c>
      <c r="L3" s="500"/>
      <c r="M3" s="500"/>
      <c r="N3" s="501" t="str">
        <f>IF(M72&gt;0,"Disabled",IF(O4 = TRUE,"Manual",IF(C28="Yes","ClosureSign",IF(C26="Yes","LegalSign",IF(AND(C27="Yes",D27="Yes"),"EVSign","BlankSign")))))</f>
        <v>BlankSign</v>
      </c>
      <c r="O3" s="502"/>
    </row>
    <row r="4" spans="1:31" ht="15.75" thickBot="1" x14ac:dyDescent="0.3">
      <c r="B4" s="499" t="s">
        <v>314</v>
      </c>
      <c r="C4" s="500"/>
      <c r="D4" s="33">
        <v>2.99</v>
      </c>
      <c r="G4" s="499" t="s">
        <v>178</v>
      </c>
      <c r="H4" s="500"/>
      <c r="I4" s="33" t="str">
        <f>_xlfn.IFNA(VLOOKUP(D70,List!P3:R12,2,FALSE),"RF")</f>
        <v>RF</v>
      </c>
      <c r="K4" s="497" t="s">
        <v>313</v>
      </c>
      <c r="L4" s="498"/>
      <c r="M4" s="498"/>
      <c r="N4" s="498"/>
      <c r="O4" s="72" t="b">
        <v>0</v>
      </c>
      <c r="P4" s="135"/>
      <c r="Q4" s="236"/>
    </row>
    <row r="5" spans="1:31" x14ac:dyDescent="0.25">
      <c r="A5" s="135"/>
      <c r="B5" s="136"/>
      <c r="C5" s="136"/>
      <c r="D5" s="137"/>
      <c r="E5" s="135"/>
      <c r="F5" s="135"/>
      <c r="G5" s="136"/>
      <c r="H5" s="136"/>
      <c r="I5" s="137"/>
      <c r="J5" s="135"/>
      <c r="K5" s="133"/>
      <c r="L5" s="133"/>
      <c r="M5" s="133"/>
      <c r="N5" s="133"/>
      <c r="O5" s="138"/>
      <c r="P5" s="135"/>
    </row>
    <row r="6" spans="1:31" ht="15.75" thickBot="1" x14ac:dyDescent="0.3">
      <c r="A6" s="135"/>
      <c r="B6" s="136"/>
      <c r="C6" s="136"/>
      <c r="D6" s="137"/>
      <c r="E6" s="135"/>
      <c r="F6" s="135"/>
      <c r="G6" s="136"/>
      <c r="H6" s="136"/>
      <c r="I6" s="137"/>
      <c r="J6" s="135"/>
      <c r="K6" s="133"/>
      <c r="L6" s="133"/>
      <c r="M6" s="133"/>
      <c r="N6" s="133"/>
      <c r="O6" s="138"/>
      <c r="P6" s="135"/>
    </row>
    <row r="7" spans="1:31" ht="15.75" thickBot="1" x14ac:dyDescent="0.3">
      <c r="A7" s="135"/>
      <c r="B7" s="183" t="s">
        <v>380</v>
      </c>
      <c r="C7" s="510">
        <f>'BR-100'!L43</f>
        <v>43964</v>
      </c>
      <c r="D7" s="511"/>
      <c r="E7" s="135"/>
      <c r="F7" s="135"/>
      <c r="G7" s="136"/>
      <c r="H7" s="136"/>
      <c r="I7" s="137"/>
      <c r="J7" s="135"/>
      <c r="K7" s="482" t="s">
        <v>378</v>
      </c>
      <c r="L7" s="509"/>
      <c r="M7" s="509"/>
      <c r="N7" s="509"/>
      <c r="O7" s="509"/>
      <c r="P7" s="483"/>
    </row>
    <row r="8" spans="1:31" ht="15" customHeight="1" thickBot="1" x14ac:dyDescent="0.3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46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8"/>
    </row>
    <row r="9" spans="1:31" ht="15.75" thickBot="1" x14ac:dyDescent="0.3">
      <c r="B9" s="482" t="s">
        <v>377</v>
      </c>
      <c r="C9" s="483"/>
      <c r="K9" s="149"/>
      <c r="L9" s="487" t="s">
        <v>315</v>
      </c>
      <c r="M9" s="487"/>
      <c r="N9" s="487"/>
      <c r="O9" s="150"/>
      <c r="P9" s="493" t="s">
        <v>298</v>
      </c>
      <c r="Q9" s="493"/>
      <c r="R9" s="150"/>
      <c r="S9" s="546" t="s">
        <v>299</v>
      </c>
      <c r="T9" s="546"/>
      <c r="U9" s="150"/>
      <c r="V9" s="546" t="s">
        <v>301</v>
      </c>
      <c r="W9" s="546"/>
      <c r="X9" s="150"/>
      <c r="Y9" s="493" t="s">
        <v>311</v>
      </c>
      <c r="Z9" s="493"/>
      <c r="AA9" s="150"/>
      <c r="AB9" s="493" t="s">
        <v>312</v>
      </c>
      <c r="AC9" s="493"/>
      <c r="AD9" s="493"/>
      <c r="AE9" s="151"/>
    </row>
    <row r="10" spans="1:31" ht="15.75" customHeight="1" thickBot="1" x14ac:dyDescent="0.3">
      <c r="B10" s="495" t="s">
        <v>202</v>
      </c>
      <c r="C10" s="495" t="s">
        <v>153</v>
      </c>
      <c r="D10" s="495" t="s">
        <v>289</v>
      </c>
      <c r="E10" s="505" t="s">
        <v>322</v>
      </c>
      <c r="F10" s="506"/>
      <c r="G10" s="495" t="s">
        <v>290</v>
      </c>
      <c r="H10" s="495" t="s">
        <v>398</v>
      </c>
      <c r="K10" s="149"/>
      <c r="L10" s="547" t="s">
        <v>286</v>
      </c>
      <c r="M10" s="548"/>
      <c r="N10" s="549"/>
      <c r="O10" s="150"/>
      <c r="P10" s="168"/>
      <c r="Q10" s="169"/>
      <c r="R10" s="150"/>
      <c r="S10" s="175"/>
      <c r="T10" s="34"/>
      <c r="U10" s="179"/>
      <c r="V10" s="180"/>
      <c r="W10" s="169"/>
      <c r="X10" s="150"/>
      <c r="Y10" s="152"/>
      <c r="Z10" s="152"/>
      <c r="AA10" s="150"/>
      <c r="AB10" s="547" t="s">
        <v>286</v>
      </c>
      <c r="AC10" s="548"/>
      <c r="AD10" s="549"/>
      <c r="AE10" s="151"/>
    </row>
    <row r="11" spans="1:31" ht="15" customHeight="1" thickBot="1" x14ac:dyDescent="0.3">
      <c r="B11" s="496"/>
      <c r="C11" s="496"/>
      <c r="D11" s="496"/>
      <c r="E11" s="507"/>
      <c r="F11" s="508"/>
      <c r="G11" s="496"/>
      <c r="H11" s="496"/>
      <c r="K11" s="149"/>
      <c r="L11" s="550"/>
      <c r="M11" s="551"/>
      <c r="N11" s="552"/>
      <c r="O11" s="150"/>
      <c r="P11" s="170"/>
      <c r="Q11" s="171"/>
      <c r="R11" s="150"/>
      <c r="S11" s="547" t="s">
        <v>343</v>
      </c>
      <c r="T11" s="549"/>
      <c r="U11" s="178"/>
      <c r="V11" s="102"/>
      <c r="W11" s="35"/>
      <c r="X11" s="176"/>
      <c r="Y11" s="150"/>
      <c r="Z11" s="150"/>
      <c r="AA11" s="150"/>
      <c r="AB11" s="550"/>
      <c r="AC11" s="551"/>
      <c r="AD11" s="552"/>
      <c r="AE11" s="151"/>
    </row>
    <row r="12" spans="1:31" ht="15" customHeight="1" x14ac:dyDescent="0.25">
      <c r="B12" s="36" t="s">
        <v>287</v>
      </c>
      <c r="C12" s="204">
        <f>'BR-100'!M25</f>
        <v>1</v>
      </c>
      <c r="D12" s="207"/>
      <c r="E12" s="199"/>
      <c r="F12" s="199"/>
      <c r="G12" s="200"/>
      <c r="H12" s="201"/>
      <c r="K12" s="149"/>
      <c r="L12" s="154">
        <v>2</v>
      </c>
      <c r="M12" s="150" t="s">
        <v>285</v>
      </c>
      <c r="N12" s="155">
        <f>IF(D27="Yes",MIN(H14,H22),H14)</f>
        <v>15</v>
      </c>
      <c r="O12" s="150"/>
      <c r="P12" s="170"/>
      <c r="Q12" s="171"/>
      <c r="R12" s="150"/>
      <c r="S12" s="550"/>
      <c r="T12" s="552"/>
      <c r="U12" s="150"/>
      <c r="V12" s="553" t="s">
        <v>379</v>
      </c>
      <c r="W12" s="554"/>
      <c r="X12" s="150"/>
      <c r="Y12" s="493" t="s">
        <v>309</v>
      </c>
      <c r="Z12" s="493"/>
      <c r="AA12" s="150"/>
      <c r="AB12" s="154">
        <v>2</v>
      </c>
      <c r="AC12" s="150" t="s">
        <v>285</v>
      </c>
      <c r="AD12" s="156">
        <v>0</v>
      </c>
      <c r="AE12" s="151"/>
    </row>
    <row r="13" spans="1:31" ht="15.75" customHeight="1" thickBot="1" x14ac:dyDescent="0.3">
      <c r="B13" s="38" t="s">
        <v>288</v>
      </c>
      <c r="C13" s="205">
        <f>'BR-100'!K25</f>
        <v>1.25</v>
      </c>
      <c r="D13" s="208"/>
      <c r="E13" s="209"/>
      <c r="F13" s="209"/>
      <c r="G13" s="210"/>
      <c r="H13" s="211"/>
      <c r="K13" s="149"/>
      <c r="L13" s="154">
        <v>3</v>
      </c>
      <c r="M13" s="150" t="s">
        <v>285</v>
      </c>
      <c r="N13" s="155">
        <f>IF(D27="Yes",MIN(H15,H23),H15)</f>
        <v>23</v>
      </c>
      <c r="O13" s="150"/>
      <c r="P13" s="170"/>
      <c r="Q13" s="171"/>
      <c r="R13" s="150"/>
      <c r="S13" s="550" t="s">
        <v>342</v>
      </c>
      <c r="T13" s="552"/>
      <c r="U13" s="150"/>
      <c r="V13" s="555"/>
      <c r="W13" s="556"/>
      <c r="X13" s="150"/>
      <c r="Y13" s="493" t="s">
        <v>310</v>
      </c>
      <c r="Z13" s="493"/>
      <c r="AA13" s="150"/>
      <c r="AB13" s="154">
        <v>3</v>
      </c>
      <c r="AC13" s="150" t="s">
        <v>285</v>
      </c>
      <c r="AD13" s="156">
        <v>0</v>
      </c>
      <c r="AE13" s="151"/>
    </row>
    <row r="14" spans="1:31" ht="15" customHeight="1" x14ac:dyDescent="0.25">
      <c r="B14" s="18" t="s">
        <v>317</v>
      </c>
      <c r="C14" s="39">
        <f>'BR-100'!C25</f>
        <v>1.5</v>
      </c>
      <c r="D14" s="196">
        <v>15</v>
      </c>
      <c r="E14" s="517">
        <f t="shared" ref="E14:E21" si="0">IF(C14&gt;=$D$3,D14,C14*D14)</f>
        <v>15</v>
      </c>
      <c r="F14" s="519"/>
      <c r="G14" s="197" t="str">
        <f>IF(C14&gt;=$D$3,"No","Yes")</f>
        <v>No</v>
      </c>
      <c r="H14" s="206">
        <f>MIN(E14:F16,E18:F21)</f>
        <v>15</v>
      </c>
      <c r="K14" s="149"/>
      <c r="L14" s="154">
        <v>4</v>
      </c>
      <c r="M14" s="150" t="s">
        <v>285</v>
      </c>
      <c r="N14" s="155">
        <f>MIN(H16,H18)</f>
        <v>27</v>
      </c>
      <c r="O14" s="150"/>
      <c r="P14" s="170"/>
      <c r="Q14" s="171"/>
      <c r="R14" s="150"/>
      <c r="S14" s="149" t="s">
        <v>344</v>
      </c>
      <c r="T14" s="157">
        <f>E22</f>
        <v>28.75</v>
      </c>
      <c r="U14" s="150"/>
      <c r="V14" s="555"/>
      <c r="W14" s="556"/>
      <c r="X14" s="150"/>
      <c r="Y14" s="493" t="s">
        <v>311</v>
      </c>
      <c r="Z14" s="493"/>
      <c r="AA14" s="150"/>
      <c r="AB14" s="154">
        <v>4</v>
      </c>
      <c r="AC14" s="150" t="s">
        <v>285</v>
      </c>
      <c r="AD14" s="156">
        <v>0</v>
      </c>
      <c r="AE14" s="151"/>
    </row>
    <row r="15" spans="1:31" ht="15.75" thickBot="1" x14ac:dyDescent="0.3">
      <c r="B15" s="18" t="s">
        <v>318</v>
      </c>
      <c r="C15" s="39">
        <f>'BR-100'!C26</f>
        <v>1.5</v>
      </c>
      <c r="D15" s="107">
        <v>23</v>
      </c>
      <c r="E15" s="484">
        <f t="shared" si="0"/>
        <v>23</v>
      </c>
      <c r="F15" s="485"/>
      <c r="G15" s="108" t="str">
        <f t="shared" ref="G15:G21" si="1">IF(C15&gt;=$D$3,"No","Yes")</f>
        <v>No</v>
      </c>
      <c r="H15" s="202">
        <f>MIN(E15:F16,E18:F21)</f>
        <v>23</v>
      </c>
      <c r="K15" s="149"/>
      <c r="L15" s="158">
        <v>5</v>
      </c>
      <c r="M15" s="150" t="s">
        <v>285</v>
      </c>
      <c r="N15" s="155">
        <f>H19</f>
        <v>31</v>
      </c>
      <c r="O15" s="150"/>
      <c r="P15" s="170"/>
      <c r="Q15" s="171"/>
      <c r="R15" s="150"/>
      <c r="S15" s="159" t="s">
        <v>345</v>
      </c>
      <c r="T15" s="160">
        <f>E23</f>
        <v>43</v>
      </c>
      <c r="U15" s="150"/>
      <c r="V15" s="557"/>
      <c r="W15" s="558"/>
      <c r="X15" s="150"/>
      <c r="Y15" s="150"/>
      <c r="Z15" s="150"/>
      <c r="AA15" s="150"/>
      <c r="AB15" s="158">
        <v>5</v>
      </c>
      <c r="AC15" s="150" t="s">
        <v>285</v>
      </c>
      <c r="AD15" s="156">
        <v>0</v>
      </c>
      <c r="AE15" s="151"/>
    </row>
    <row r="16" spans="1:31" ht="16.5" customHeight="1" thickBot="1" x14ac:dyDescent="0.3">
      <c r="B16" s="18" t="s">
        <v>319</v>
      </c>
      <c r="C16" s="39">
        <f>'BR-100'!C28</f>
        <v>1.5</v>
      </c>
      <c r="D16" s="107">
        <v>27</v>
      </c>
      <c r="E16" s="484">
        <f t="shared" si="0"/>
        <v>27</v>
      </c>
      <c r="F16" s="485"/>
      <c r="G16" s="108" t="str">
        <f t="shared" si="1"/>
        <v>No</v>
      </c>
      <c r="H16" s="202">
        <f>E16</f>
        <v>27</v>
      </c>
      <c r="K16" s="149"/>
      <c r="L16" s="161" t="s">
        <v>155</v>
      </c>
      <c r="M16" s="162" t="s">
        <v>285</v>
      </c>
      <c r="N16" s="163">
        <f>MIN(H20:H21)</f>
        <v>34.75</v>
      </c>
      <c r="O16" s="150"/>
      <c r="P16" s="170"/>
      <c r="Q16" s="171"/>
      <c r="R16" s="150"/>
      <c r="S16" s="174"/>
      <c r="T16" s="40"/>
      <c r="U16" s="179"/>
      <c r="V16" s="102"/>
      <c r="W16" s="102"/>
      <c r="X16" s="176"/>
      <c r="Y16" s="150"/>
      <c r="Z16" s="150"/>
      <c r="AA16" s="150"/>
      <c r="AB16" s="161" t="s">
        <v>155</v>
      </c>
      <c r="AC16" s="162" t="s">
        <v>285</v>
      </c>
      <c r="AD16" s="164">
        <v>0</v>
      </c>
      <c r="AE16" s="151"/>
    </row>
    <row r="17" spans="2:31" ht="18.75" customHeight="1" thickBot="1" x14ac:dyDescent="0.3">
      <c r="B17" s="18" t="s">
        <v>152</v>
      </c>
      <c r="C17" s="39">
        <f>'BR-100'!C29</f>
        <v>1.5</v>
      </c>
      <c r="D17" s="107">
        <v>40</v>
      </c>
      <c r="E17" s="484">
        <f t="shared" si="0"/>
        <v>40</v>
      </c>
      <c r="F17" s="485"/>
      <c r="G17" s="108" t="str">
        <f t="shared" si="1"/>
        <v>No</v>
      </c>
      <c r="H17" s="202">
        <f>E17</f>
        <v>40</v>
      </c>
      <c r="K17" s="149"/>
      <c r="L17" s="503"/>
      <c r="M17" s="504"/>
      <c r="N17" s="165">
        <f>E17</f>
        <v>40</v>
      </c>
      <c r="O17" s="150"/>
      <c r="P17" s="172"/>
      <c r="Q17" s="173"/>
      <c r="R17" s="150"/>
      <c r="S17" s="177"/>
      <c r="T17" s="177"/>
      <c r="U17" s="176"/>
      <c r="V17" s="172"/>
      <c r="W17" s="171"/>
      <c r="X17" s="150"/>
      <c r="Y17" s="150"/>
      <c r="Z17" s="150"/>
      <c r="AA17" s="150"/>
      <c r="AB17" s="503"/>
      <c r="AC17" s="504"/>
      <c r="AD17" s="166">
        <v>0</v>
      </c>
      <c r="AE17" s="151"/>
    </row>
    <row r="18" spans="2:31" ht="15.75" thickBot="1" x14ac:dyDescent="0.3">
      <c r="B18" s="18" t="s">
        <v>1</v>
      </c>
      <c r="C18" s="39">
        <f>'BR-100'!C32</f>
        <v>1.5</v>
      </c>
      <c r="D18" s="107">
        <v>27</v>
      </c>
      <c r="E18" s="484">
        <f t="shared" si="0"/>
        <v>27</v>
      </c>
      <c r="F18" s="485"/>
      <c r="G18" s="108" t="str">
        <f t="shared" si="1"/>
        <v>No</v>
      </c>
      <c r="H18" s="202">
        <f>MIN(E18:F21)</f>
        <v>27</v>
      </c>
      <c r="K18" s="149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81"/>
      <c r="W18" s="181"/>
      <c r="X18" s="150"/>
      <c r="Y18" s="150"/>
      <c r="Z18" s="150"/>
      <c r="AA18" s="150"/>
      <c r="AB18" s="150"/>
      <c r="AC18" s="150"/>
      <c r="AD18" s="150"/>
      <c r="AE18" s="151"/>
    </row>
    <row r="19" spans="2:31" x14ac:dyDescent="0.25">
      <c r="B19" s="38" t="s">
        <v>2</v>
      </c>
      <c r="C19" s="39">
        <f>'BR-100'!C33</f>
        <v>1.5</v>
      </c>
      <c r="D19" s="107">
        <v>31</v>
      </c>
      <c r="E19" s="484">
        <f t="shared" si="0"/>
        <v>31</v>
      </c>
      <c r="F19" s="485"/>
      <c r="G19" s="108" t="str">
        <f t="shared" si="1"/>
        <v>No</v>
      </c>
      <c r="H19" s="202">
        <f>MIN(E19:F21)</f>
        <v>31</v>
      </c>
      <c r="K19" s="149"/>
      <c r="L19" s="489" t="s">
        <v>351</v>
      </c>
      <c r="M19" s="490"/>
      <c r="N19" s="490"/>
      <c r="O19" s="490"/>
      <c r="P19" s="490"/>
      <c r="Q19" s="490"/>
      <c r="R19" s="490"/>
      <c r="S19" s="490"/>
      <c r="T19" s="490"/>
      <c r="U19" s="490"/>
      <c r="V19" s="490"/>
      <c r="W19" s="490"/>
      <c r="X19" s="491"/>
      <c r="Y19" s="150"/>
      <c r="Z19" s="150"/>
      <c r="AA19" s="150"/>
      <c r="AB19" s="150"/>
      <c r="AC19" s="150"/>
      <c r="AD19" s="150"/>
      <c r="AE19" s="151"/>
    </row>
    <row r="20" spans="2:31" x14ac:dyDescent="0.25">
      <c r="B20" s="111" t="s">
        <v>3</v>
      </c>
      <c r="C20" s="39">
        <f>'BR-100'!C35</f>
        <v>1.5</v>
      </c>
      <c r="D20" s="107">
        <v>34.75</v>
      </c>
      <c r="E20" s="484">
        <f t="shared" si="0"/>
        <v>34.75</v>
      </c>
      <c r="F20" s="485"/>
      <c r="G20" s="108" t="str">
        <f t="shared" si="1"/>
        <v>No</v>
      </c>
      <c r="H20" s="202">
        <f>MIN(E20:F21)</f>
        <v>34.75</v>
      </c>
      <c r="K20" s="149"/>
      <c r="L20" s="492" t="s">
        <v>321</v>
      </c>
      <c r="M20" s="493"/>
      <c r="N20" s="493"/>
      <c r="O20" s="493"/>
      <c r="P20" s="493"/>
      <c r="Q20" s="493"/>
      <c r="R20" s="493"/>
      <c r="S20" s="493"/>
      <c r="T20" s="493"/>
      <c r="U20" s="493"/>
      <c r="V20" s="493"/>
      <c r="W20" s="493"/>
      <c r="X20" s="494"/>
      <c r="Y20" s="150"/>
      <c r="Z20" s="150"/>
      <c r="AA20" s="150"/>
      <c r="AB20" s="150"/>
      <c r="AC20" s="150"/>
      <c r="AD20" s="150"/>
      <c r="AE20" s="151"/>
    </row>
    <row r="21" spans="2:31" ht="15" customHeight="1" thickBot="1" x14ac:dyDescent="0.3">
      <c r="B21" s="111" t="s">
        <v>4</v>
      </c>
      <c r="C21" s="39">
        <f>'BR-100'!C36</f>
        <v>1.5</v>
      </c>
      <c r="D21" s="107">
        <v>38.75</v>
      </c>
      <c r="E21" s="484">
        <f t="shared" si="0"/>
        <v>38.75</v>
      </c>
      <c r="F21" s="485"/>
      <c r="G21" s="108" t="str">
        <f t="shared" si="1"/>
        <v>No</v>
      </c>
      <c r="H21" s="202">
        <f>E21</f>
        <v>38.75</v>
      </c>
      <c r="K21" s="149"/>
      <c r="L21" s="486" t="s">
        <v>320</v>
      </c>
      <c r="M21" s="487"/>
      <c r="N21" s="487"/>
      <c r="O21" s="487"/>
      <c r="P21" s="487"/>
      <c r="Q21" s="487"/>
      <c r="R21" s="487"/>
      <c r="S21" s="487"/>
      <c r="T21" s="487"/>
      <c r="U21" s="487"/>
      <c r="V21" s="487"/>
      <c r="W21" s="487"/>
      <c r="X21" s="488"/>
      <c r="Y21" s="150"/>
      <c r="Z21" s="150"/>
      <c r="AA21" s="150"/>
      <c r="AB21" s="150"/>
      <c r="AC21" s="150"/>
      <c r="AD21" s="150"/>
      <c r="AE21" s="151"/>
    </row>
    <row r="22" spans="2:31" ht="15.75" thickBot="1" x14ac:dyDescent="0.3">
      <c r="B22" s="41" t="str">
        <f>IF(I3=TRUE,"EV2","")</f>
        <v>EV2</v>
      </c>
      <c r="C22" s="39">
        <f>'BR-100'!C40</f>
        <v>1.5</v>
      </c>
      <c r="D22" s="107">
        <f>IF(I3=TRUE,28.75,"")</f>
        <v>28.75</v>
      </c>
      <c r="E22" s="484">
        <f>IF(I3=TRUE,IF(C22&gt;=$D$3,D22,C22*D22),"")</f>
        <v>28.75</v>
      </c>
      <c r="F22" s="485"/>
      <c r="G22" s="108" t="str">
        <f>IF(I3=TRUE,IF(C22&gt;=$D$3,"No","Yes"),"")</f>
        <v>No</v>
      </c>
      <c r="H22" s="202">
        <f>MIN(E22:F23)</f>
        <v>28.75</v>
      </c>
      <c r="K22" s="159"/>
      <c r="L22" s="153"/>
      <c r="M22" s="153"/>
      <c r="N22" s="153"/>
      <c r="O22" s="153"/>
      <c r="P22" s="153"/>
      <c r="Q22" s="153"/>
      <c r="R22" s="153"/>
      <c r="S22" s="153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7"/>
    </row>
    <row r="23" spans="2:31" ht="15.75" thickBot="1" x14ac:dyDescent="0.3">
      <c r="B23" s="110" t="str">
        <f>IF(I3=TRUE,"EV3","")</f>
        <v>EV3</v>
      </c>
      <c r="C23" s="44">
        <f>'BR-100'!C41</f>
        <v>1.5</v>
      </c>
      <c r="D23" s="105">
        <f>IF(I3=TRUE,43,"")</f>
        <v>43</v>
      </c>
      <c r="E23" s="520">
        <f>IF(I3=TRUE,IF(C23&gt;=$D$3,D23,C23*D23),"")</f>
        <v>43</v>
      </c>
      <c r="F23" s="522"/>
      <c r="G23" s="106" t="str">
        <f>IF(I3=TRUE,IF(C23&gt;=$D$3,"No","Yes"),"")</f>
        <v>No</v>
      </c>
      <c r="H23" s="203">
        <f>E23</f>
        <v>43</v>
      </c>
      <c r="L23" s="42"/>
      <c r="M23" s="42"/>
      <c r="N23" s="42"/>
      <c r="O23" s="42"/>
      <c r="P23" s="42"/>
      <c r="Q23" s="42"/>
      <c r="R23" s="42"/>
      <c r="S23" s="42"/>
    </row>
    <row r="24" spans="2:31" ht="15.75" thickBot="1" x14ac:dyDescent="0.3">
      <c r="L24" s="42"/>
      <c r="M24" s="42"/>
      <c r="N24" s="42"/>
      <c r="O24" s="42"/>
      <c r="P24" s="42"/>
      <c r="Q24" s="42"/>
      <c r="R24" s="42"/>
      <c r="S24" s="42"/>
    </row>
    <row r="25" spans="2:31" ht="15.75" thickBot="1" x14ac:dyDescent="0.3">
      <c r="B25" s="482" t="s">
        <v>294</v>
      </c>
      <c r="C25" s="483"/>
      <c r="D25" s="45" t="s">
        <v>297</v>
      </c>
      <c r="K25" s="514" t="s">
        <v>388</v>
      </c>
      <c r="L25" s="515"/>
      <c r="M25" s="515"/>
      <c r="N25" s="516"/>
    </row>
    <row r="26" spans="2:31" ht="15.75" thickBot="1" x14ac:dyDescent="0.3">
      <c r="B26" s="46" t="s">
        <v>291</v>
      </c>
      <c r="C26" s="47" t="str">
        <f>IF(COUNTIF(G14:G21,"Yes")&gt;0,"Yes","No")</f>
        <v>No</v>
      </c>
      <c r="D26" s="48"/>
      <c r="K26" s="465"/>
      <c r="L26" s="513"/>
      <c r="M26" s="465" t="s">
        <v>395</v>
      </c>
      <c r="N26" s="462"/>
      <c r="O26" s="466" t="s">
        <v>394</v>
      </c>
      <c r="P26" s="513"/>
      <c r="Q26" s="465" t="s">
        <v>393</v>
      </c>
      <c r="R26" s="462"/>
      <c r="S26" s="466" t="s">
        <v>391</v>
      </c>
      <c r="T26" s="462"/>
      <c r="U26" s="100"/>
      <c r="V26" s="100"/>
    </row>
    <row r="27" spans="2:31" ht="15" customHeight="1" x14ac:dyDescent="0.25">
      <c r="B27" s="49" t="s">
        <v>292</v>
      </c>
      <c r="C27" s="50" t="str">
        <f>IF(COUNTIF(G22:G23,"Yes")&gt;0,"Yes","No")</f>
        <v>No</v>
      </c>
      <c r="D27" s="17" t="str">
        <f>IF(I3,"Yes","No")</f>
        <v>Yes</v>
      </c>
      <c r="K27" s="512" t="s">
        <v>389</v>
      </c>
      <c r="L27" s="457"/>
      <c r="M27" s="457" t="str">
        <f>IFERROR(LEFT('BR-100'!$B$46, SEARCH(" ",'BR-100'!$B$46,1)-1),"")</f>
        <v/>
      </c>
      <c r="N27" s="457"/>
      <c r="O27" s="457" t="str">
        <f>IFERROR(MID('BR-100'!B46,SEARCH(" ",'BR-100'!$B$46)+1,SEARCH(" ",'BR-100'!$B$46,SEARCH(" ",'BR-100'!$B$46)+1)-SEARCH(" ",'BR-100'!$B$46)-1),"")</f>
        <v/>
      </c>
      <c r="P27" s="457"/>
      <c r="Q27" s="457" t="str">
        <f>IF(ISERROR(SEARCH(" ",'BR-100'!$B$46,SEARCH(" ",'BR-100'!$B$46)+1)),IFERROR(MID('BR-100'!$B$46,SEARCH(" ",'BR-100'!$B$46)+1,SEARCH(" ",'BR-100'!$B$46,SEARCH(" ",'BR-100'!$B$46)+1)-SEARCH(" ",'BR-100'!$B$46)-1),IFERROR(RIGHT('BR-100'!$B$46,LEN('BR-100'!$B$46)-SEARCH(" ",'BR-100'!$B$46)),"Last")), IFERROR(RIGHT('BR-100'!$B$46,LEN('BR-100'!$B$46)-SEARCH(" ",'BR-100'!$B$46,SEARCH(" ",'BR-100'!$B$46)+1)),""))</f>
        <v>Last</v>
      </c>
      <c r="R27" s="457"/>
      <c r="S27" s="457" t="str">
        <f>IF('BR-100'!B47=0,"",'BR-100'!B47)</f>
        <v/>
      </c>
      <c r="T27" s="458"/>
      <c r="U27" s="100"/>
      <c r="V27" s="100"/>
    </row>
    <row r="28" spans="2:31" ht="15.75" thickBot="1" x14ac:dyDescent="0.3">
      <c r="B28" s="51" t="s">
        <v>293</v>
      </c>
      <c r="C28" s="52" t="str">
        <f>IF(COUNTIF(E14:E23,"&lt;"&amp;D4)&gt;0,"Yes","No")</f>
        <v>No</v>
      </c>
      <c r="D28" s="53"/>
      <c r="K28" s="535" t="s">
        <v>390</v>
      </c>
      <c r="L28" s="467"/>
      <c r="M28" s="467" t="str">
        <f>IFERROR(LEFT('BR-100'!$F$46, SEARCH(" ",'BR-100'!$F$46,1)-1),"")</f>
        <v/>
      </c>
      <c r="N28" s="467"/>
      <c r="O28" s="467" t="str">
        <f>IFERROR(MID('BR-100'!$F$46,SEARCH(" ",'BR-100'!$F$46)+1,SEARCH(" ",'BR-100'!$F$46,SEARCH(" ",'BR-100'!$F$46)+1)-SEARCH(" ",'BR-100'!$F$46)-1),"")</f>
        <v/>
      </c>
      <c r="P28" s="467"/>
      <c r="Q28" s="467" t="str">
        <f>IF(ISERROR(SEARCH(" ",'BR-100'!$F$46,SEARCH(" ",'BR-100'!$F$46)+1)),IFERROR(MID('BR-100'!$F$46,SEARCH(" ",'BR-100'!$F$46)+1,SEARCH(" ",'BR-100'!$F$46,SEARCH(" ",'BR-100'!$F$46)+1)-SEARCH(" ",'BR-100'!$F$46)-1),IFERROR(RIGHT('BR-100'!$F$46,LEN('BR-100'!$F$46)-SEARCH(" ",'BR-100'!$F$46)+1),"Last")), IFERROR(RIGHT('BR-100'!$F$46,LEN('BR-100'!$F$46)-SEARCH(" ",'BR-100'!$F$46,SEARCH(" ",'BR-100'!$F$46)+1)),""))</f>
        <v>Last</v>
      </c>
      <c r="R28" s="467"/>
      <c r="S28" s="467" t="str">
        <f>IF('BR-100'!F47=0,"",'BR-100'!F47)</f>
        <v/>
      </c>
      <c r="T28" s="468"/>
      <c r="U28" s="100"/>
      <c r="V28" s="100"/>
    </row>
    <row r="29" spans="2:31" ht="15.75" thickBot="1" x14ac:dyDescent="0.3">
      <c r="K29" s="529" t="s">
        <v>396</v>
      </c>
      <c r="L29" s="530"/>
      <c r="M29" s="530"/>
      <c r="N29" s="531"/>
      <c r="O29" s="463"/>
      <c r="P29" s="464"/>
      <c r="Q29" s="464"/>
      <c r="R29" s="464"/>
      <c r="S29" s="464"/>
      <c r="T29" s="464"/>
    </row>
    <row r="30" spans="2:31" ht="15.75" thickBot="1" x14ac:dyDescent="0.3">
      <c r="B30" s="54"/>
      <c r="C30" s="112" t="s">
        <v>295</v>
      </c>
      <c r="D30" s="55">
        <f>IF(D27="No",IF(MROUND(MIN(C14:C21),0.05)&gt;1.499,1.5,MROUND(MIN(C14:C21),0.05)),IF(MROUND(MIN(C14:C23),0.05)&gt;1.499,1.5,MROUND(MIN(C14:C23),0.05)))</f>
        <v>1.5</v>
      </c>
      <c r="E30" s="56"/>
      <c r="F30" s="56"/>
      <c r="G30" s="57"/>
      <c r="K30" s="465"/>
      <c r="L30" s="461"/>
      <c r="M30" s="461" t="str">
        <f>TRIM(UPPER(IF(S27&lt;&gt;"",M27,IF(S28&lt;&gt;"",M28,""))))</f>
        <v/>
      </c>
      <c r="N30" s="461"/>
      <c r="O30" s="461"/>
      <c r="P30" s="461"/>
      <c r="Q30" s="461" t="str">
        <f>TRIM(UPPER(IF(S27&lt;&gt;"",Q27,IF(S28&lt;&gt;"",Q28,""))))</f>
        <v/>
      </c>
      <c r="R30" s="461"/>
      <c r="S30" s="461" t="str">
        <f>IF(S27&lt;&gt;"",S27,IF(S28&lt;&gt;"",S28,""))</f>
        <v/>
      </c>
      <c r="T30" s="462"/>
      <c r="U30" s="100"/>
      <c r="V30" s="100"/>
    </row>
    <row r="31" spans="2:31" ht="15.75" thickBot="1" x14ac:dyDescent="0.3">
      <c r="B31" s="54"/>
      <c r="C31" s="112" t="s">
        <v>296</v>
      </c>
      <c r="D31" s="527" t="str">
        <f>IF(N3="Manual","Modified by Engineer",IF(C28="Yes", "BRIDGE CLOSURE RECOMMENDED",IF(C26="Yes","LOAD POSTING IS RECOMMENDED", IF(AND(C27="Yes",D27="Yes"),"EV Posting Recommended","No Load Posting is Recommended"))))</f>
        <v>No Load Posting is Recommended</v>
      </c>
      <c r="E31" s="527"/>
      <c r="F31" s="527"/>
      <c r="G31" s="528"/>
      <c r="O31" s="100"/>
      <c r="P31" s="100"/>
      <c r="Q31" s="100"/>
    </row>
    <row r="32" spans="2:31" ht="15.75" thickBot="1" x14ac:dyDescent="0.3">
      <c r="B32" s="533" t="s">
        <v>387</v>
      </c>
      <c r="C32" s="534"/>
      <c r="D32" s="527" t="str">
        <f>IF('Calcs &amp; Signs'!I4="RF","Rating by RF","Rating by Tons")</f>
        <v>Rating by RF</v>
      </c>
      <c r="E32" s="527"/>
      <c r="F32" s="527"/>
      <c r="G32" s="528"/>
    </row>
    <row r="34" spans="2:9" ht="15.75" x14ac:dyDescent="0.25">
      <c r="B34" s="532" t="s">
        <v>442</v>
      </c>
      <c r="C34" s="532"/>
      <c r="D34" s="532"/>
      <c r="E34" s="532"/>
      <c r="F34" s="532"/>
      <c r="G34" s="532"/>
    </row>
    <row r="35" spans="2:9" ht="7.5" customHeight="1" thickBot="1" x14ac:dyDescent="0.3"/>
    <row r="36" spans="2:9" ht="15.75" thickBot="1" x14ac:dyDescent="0.3">
      <c r="B36" s="463" t="s">
        <v>443</v>
      </c>
      <c r="C36" s="464"/>
      <c r="D36" s="464"/>
      <c r="E36" s="464"/>
      <c r="F36" s="464"/>
      <c r="G36" s="469"/>
    </row>
    <row r="37" spans="2:9" x14ac:dyDescent="0.25">
      <c r="B37" s="214"/>
      <c r="C37" s="229" t="s">
        <v>153</v>
      </c>
      <c r="D37" s="229" t="s">
        <v>202</v>
      </c>
      <c r="E37" s="229" t="s">
        <v>444</v>
      </c>
      <c r="F37" s="470" t="s">
        <v>445</v>
      </c>
      <c r="G37" s="471"/>
    </row>
    <row r="38" spans="2:9" x14ac:dyDescent="0.25">
      <c r="B38" s="41" t="s">
        <v>446</v>
      </c>
      <c r="C38" s="230">
        <f>C14</f>
        <v>1.5</v>
      </c>
      <c r="D38" s="231" t="str">
        <f>B14</f>
        <v>2F1</v>
      </c>
      <c r="E38" s="231">
        <f>D14</f>
        <v>15</v>
      </c>
      <c r="F38" s="472">
        <f>E14</f>
        <v>15</v>
      </c>
      <c r="G38" s="473"/>
    </row>
    <row r="39" spans="2:9" x14ac:dyDescent="0.25">
      <c r="B39" s="41" t="s">
        <v>447</v>
      </c>
      <c r="C39" s="230">
        <f>C15</f>
        <v>1.5</v>
      </c>
      <c r="D39" s="231" t="str">
        <f>B15</f>
        <v>3F1</v>
      </c>
      <c r="E39" s="231">
        <f>D15</f>
        <v>23</v>
      </c>
      <c r="F39" s="472">
        <f>E15</f>
        <v>23</v>
      </c>
      <c r="G39" s="473"/>
    </row>
    <row r="40" spans="2:9" x14ac:dyDescent="0.25">
      <c r="B40" s="41" t="s">
        <v>448</v>
      </c>
      <c r="C40" s="230">
        <f>IF(F40=E16,C16,C18)</f>
        <v>1.5</v>
      </c>
      <c r="D40" s="231" t="str">
        <f>IF(F40=E16,B16,B18)</f>
        <v>4F1</v>
      </c>
      <c r="E40" s="231">
        <f>IF(F40=E16,D16,D18)</f>
        <v>27</v>
      </c>
      <c r="F40" s="472">
        <f>MIN(E16,E18)</f>
        <v>27</v>
      </c>
      <c r="G40" s="473"/>
      <c r="H40" s="19" t="s">
        <v>449</v>
      </c>
    </row>
    <row r="41" spans="2:9" x14ac:dyDescent="0.25">
      <c r="B41" s="41" t="s">
        <v>450</v>
      </c>
      <c r="C41" s="230">
        <f>C19</f>
        <v>1.5</v>
      </c>
      <c r="D41" s="231" t="str">
        <f>B19</f>
        <v>SU5</v>
      </c>
      <c r="E41" s="231">
        <f>D19</f>
        <v>31</v>
      </c>
      <c r="F41" s="472">
        <f>E17</f>
        <v>40</v>
      </c>
      <c r="G41" s="473"/>
    </row>
    <row r="42" spans="2:9" x14ac:dyDescent="0.25">
      <c r="B42" s="41" t="s">
        <v>451</v>
      </c>
      <c r="C42" s="230">
        <f>IF(F42=E20,C20,C21)</f>
        <v>1.5</v>
      </c>
      <c r="D42" s="231" t="str">
        <f>IF(F42=E20,B20,B21)</f>
        <v>SU6</v>
      </c>
      <c r="E42" s="231">
        <f>IF(F42=E20,D20,D21)</f>
        <v>34.75</v>
      </c>
      <c r="F42" s="472">
        <f>MIN(E20,E21)</f>
        <v>34.75</v>
      </c>
      <c r="G42" s="473"/>
      <c r="H42" s="19" t="s">
        <v>452</v>
      </c>
    </row>
    <row r="43" spans="2:9" ht="15.75" thickBot="1" x14ac:dyDescent="0.3">
      <c r="B43" s="232" t="s">
        <v>152</v>
      </c>
      <c r="C43" s="233">
        <f>C17</f>
        <v>1.5</v>
      </c>
      <c r="D43" s="234" t="str">
        <f>B17</f>
        <v>5C1</v>
      </c>
      <c r="E43" s="234">
        <f>D17</f>
        <v>40</v>
      </c>
      <c r="F43" s="474">
        <f>E17</f>
        <v>40</v>
      </c>
      <c r="G43" s="475"/>
    </row>
    <row r="45" spans="2:9" ht="15.75" thickBot="1" x14ac:dyDescent="0.3"/>
    <row r="46" spans="2:9" ht="15.75" thickBot="1" x14ac:dyDescent="0.3">
      <c r="B46" s="463" t="s">
        <v>385</v>
      </c>
      <c r="C46" s="469"/>
      <c r="D46" s="188"/>
    </row>
    <row r="47" spans="2:9" x14ac:dyDescent="0.25">
      <c r="B47" s="523" t="s">
        <v>306</v>
      </c>
      <c r="C47" s="524"/>
      <c r="D47" s="478" t="str">
        <f>IF(D30&gt;D3,"S-Satisfactory","E-Excessive")</f>
        <v>S-Satisfactory</v>
      </c>
      <c r="E47" s="478"/>
      <c r="F47" s="478"/>
      <c r="G47" s="478"/>
      <c r="H47" s="479"/>
    </row>
    <row r="48" spans="2:9" x14ac:dyDescent="0.25">
      <c r="B48" s="525" t="s">
        <v>305</v>
      </c>
      <c r="C48" s="526"/>
      <c r="D48" s="476">
        <f>D30</f>
        <v>1.5</v>
      </c>
      <c r="E48" s="476"/>
      <c r="F48" s="476"/>
      <c r="G48" s="476"/>
      <c r="H48" s="477"/>
      <c r="I48" s="71"/>
    </row>
    <row r="49" spans="2:23" ht="15.75" thickBot="1" x14ac:dyDescent="0.3">
      <c r="B49" s="537" t="s">
        <v>185</v>
      </c>
      <c r="C49" s="538"/>
      <c r="D49" s="480" t="str">
        <f>INDEX(List!Y3:Y8,IFERROR(MATCH(1-D48,List!X3:X8,1),1),1)</f>
        <v>5 - Equal to or above legal loads</v>
      </c>
      <c r="E49" s="480"/>
      <c r="F49" s="480"/>
      <c r="G49" s="480"/>
      <c r="H49" s="481"/>
    </row>
    <row r="50" spans="2:23" ht="15.75" thickBot="1" x14ac:dyDescent="0.3"/>
    <row r="51" spans="2:23" ht="15.75" thickBot="1" x14ac:dyDescent="0.3">
      <c r="B51" s="463" t="s">
        <v>348</v>
      </c>
      <c r="C51" s="469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</row>
    <row r="52" spans="2:23" ht="15.75" thickBot="1" x14ac:dyDescent="0.3">
      <c r="B52" s="66"/>
      <c r="C52" s="465" t="s">
        <v>336</v>
      </c>
      <c r="D52" s="462"/>
      <c r="E52" s="463" t="s">
        <v>335</v>
      </c>
      <c r="F52" s="464"/>
      <c r="G52" s="469"/>
      <c r="H52" s="67" t="s">
        <v>337</v>
      </c>
      <c r="I52" s="465" t="s">
        <v>338</v>
      </c>
      <c r="J52" s="461"/>
      <c r="K52" s="462"/>
      <c r="L52" s="463" t="s">
        <v>339</v>
      </c>
      <c r="M52" s="464"/>
      <c r="N52" s="464"/>
      <c r="O52" s="464"/>
      <c r="P52" s="464"/>
      <c r="Q52" s="464"/>
      <c r="R52" s="464"/>
      <c r="S52" s="464"/>
      <c r="T52" s="464"/>
      <c r="U52" s="464"/>
      <c r="V52" s="464"/>
      <c r="W52" s="469"/>
    </row>
    <row r="53" spans="2:23" x14ac:dyDescent="0.25">
      <c r="B53" s="68" t="s">
        <v>333</v>
      </c>
      <c r="C53" s="457" t="str">
        <f>'BR-100'!J6</f>
        <v>00 00' 00.00"</v>
      </c>
      <c r="D53" s="457"/>
      <c r="E53" s="517">
        <f>LEFT(C53,2)+MID(C53,4,2)/60+MID(C53,8,5)/3600</f>
        <v>0</v>
      </c>
      <c r="F53" s="518"/>
      <c r="G53" s="519"/>
      <c r="H53" s="69" t="b">
        <f>ISTEXT(C53)</f>
        <v>1</v>
      </c>
      <c r="I53" s="457">
        <f>IF(H53=TRUE,E53,C53)</f>
        <v>0</v>
      </c>
      <c r="J53" s="457"/>
      <c r="K53" s="458"/>
      <c r="L53" s="541" t="str">
        <f>_xlfn.CONCAT("https://www.google.com/maps/?q=",I53,",",I54)</f>
        <v>https://www.google.com/maps/?q=0,0</v>
      </c>
      <c r="M53" s="542"/>
      <c r="N53" s="542"/>
      <c r="O53" s="542"/>
      <c r="P53" s="542"/>
      <c r="Q53" s="542"/>
      <c r="R53" s="542"/>
      <c r="S53" s="542"/>
      <c r="T53" s="542"/>
      <c r="U53" s="542"/>
      <c r="V53" s="542"/>
      <c r="W53" s="543"/>
    </row>
    <row r="54" spans="2:23" ht="15.75" thickBot="1" x14ac:dyDescent="0.3">
      <c r="B54" s="43" t="s">
        <v>334</v>
      </c>
      <c r="C54" s="467" t="str">
        <f>'BR-100'!L6</f>
        <v>00 00' 00.00"</v>
      </c>
      <c r="D54" s="467"/>
      <c r="E54" s="520">
        <f>IF(C54&gt;1,LEFT(C54,2)+MID(C54,4,2)/60+MID(C54,8,5)/3600,LEFT(C54,3)/1-MID(C54,5,2)/60-MID(C54,7,5)/3600)</f>
        <v>0</v>
      </c>
      <c r="F54" s="521"/>
      <c r="G54" s="522"/>
      <c r="H54" s="70" t="b">
        <f>ISTEXT(C54)</f>
        <v>1</v>
      </c>
      <c r="I54" s="467">
        <f>-ABS(IF(H54=TRUE,E54,C54))</f>
        <v>0</v>
      </c>
      <c r="J54" s="467"/>
      <c r="K54" s="468"/>
      <c r="L54" s="402"/>
      <c r="M54" s="544"/>
      <c r="N54" s="544"/>
      <c r="O54" s="544"/>
      <c r="P54" s="544"/>
      <c r="Q54" s="544"/>
      <c r="R54" s="544"/>
      <c r="S54" s="544"/>
      <c r="T54" s="544"/>
      <c r="U54" s="544"/>
      <c r="V54" s="544"/>
      <c r="W54" s="545"/>
    </row>
    <row r="55" spans="2:23" ht="15.75" thickBot="1" x14ac:dyDescent="0.3"/>
    <row r="56" spans="2:23" ht="15.75" thickBot="1" x14ac:dyDescent="0.3">
      <c r="B56" s="514" t="s">
        <v>383</v>
      </c>
      <c r="C56" s="516"/>
      <c r="E56" s="186"/>
      <c r="F56" s="186"/>
      <c r="G56" s="186"/>
      <c r="H56" s="187"/>
      <c r="I56" s="186"/>
      <c r="J56" s="186"/>
      <c r="K56" s="186"/>
    </row>
    <row r="57" spans="2:23" ht="15.75" thickBot="1" x14ac:dyDescent="0.3">
      <c r="B57" s="103" t="s">
        <v>20</v>
      </c>
      <c r="C57" s="134" t="str">
        <f>MID('BR-100'!C6,1,3)</f>
        <v/>
      </c>
      <c r="E57" s="101"/>
      <c r="F57" s="101"/>
      <c r="G57" s="101"/>
      <c r="H57" s="71"/>
      <c r="I57" s="101"/>
      <c r="J57" s="101"/>
      <c r="K57" s="101"/>
    </row>
    <row r="58" spans="2:23" ht="15.75" thickBot="1" x14ac:dyDescent="0.3">
      <c r="B58" s="103" t="s">
        <v>384</v>
      </c>
      <c r="C58" s="104" t="str">
        <f>IF(ISNA(VLOOKUP(C57,List!C4:D91,2,FALSE))=TRUE,"N/A",VLOOKUP(C57,List!C4:D91,2))</f>
        <v>N/A</v>
      </c>
    </row>
    <row r="59" spans="2:23" ht="15.75" thickBot="1" x14ac:dyDescent="0.3"/>
    <row r="60" spans="2:23" ht="15.75" thickBot="1" x14ac:dyDescent="0.3">
      <c r="B60" s="67" t="s">
        <v>386</v>
      </c>
      <c r="C60" s="113"/>
      <c r="D60" s="113"/>
      <c r="E60" s="113"/>
      <c r="F60" s="113"/>
      <c r="G60" s="113"/>
    </row>
    <row r="61" spans="2:23" x14ac:dyDescent="0.25">
      <c r="B61" s="109" t="s">
        <v>302</v>
      </c>
      <c r="C61" s="58">
        <f>C12</f>
        <v>1</v>
      </c>
      <c r="D61" s="60"/>
      <c r="E61" s="60"/>
      <c r="F61" s="60"/>
      <c r="G61" s="60"/>
    </row>
    <row r="62" spans="2:23" x14ac:dyDescent="0.25">
      <c r="B62" s="61" t="s">
        <v>303</v>
      </c>
      <c r="C62" s="62">
        <f>C13</f>
        <v>1.25</v>
      </c>
      <c r="D62" s="60"/>
      <c r="E62" s="60"/>
      <c r="F62" s="60"/>
      <c r="G62" s="60"/>
    </row>
    <row r="63" spans="2:23" ht="15.75" thickBot="1" x14ac:dyDescent="0.3">
      <c r="B63" s="63" t="s">
        <v>304</v>
      </c>
      <c r="C63" s="64" t="str">
        <f>IF(C61&gt;=C62,"Error","")</f>
        <v/>
      </c>
      <c r="D63" s="60" t="s">
        <v>316</v>
      </c>
      <c r="E63" s="60"/>
      <c r="F63" s="60"/>
      <c r="G63" s="60"/>
    </row>
    <row r="64" spans="2:23" ht="15.75" thickBot="1" x14ac:dyDescent="0.3">
      <c r="B64" s="32"/>
      <c r="C64" s="65"/>
      <c r="D64" s="60"/>
      <c r="E64" s="60"/>
      <c r="F64" s="60"/>
      <c r="G64" s="60"/>
    </row>
    <row r="65" spans="2:16" ht="15.75" thickBot="1" x14ac:dyDescent="0.3">
      <c r="B65" s="463" t="s">
        <v>308</v>
      </c>
      <c r="C65" s="469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</row>
    <row r="66" spans="2:16" x14ac:dyDescent="0.25">
      <c r="B66" s="512"/>
      <c r="C66" s="457"/>
      <c r="D66" s="457"/>
      <c r="E66" s="457"/>
      <c r="F66" s="457"/>
      <c r="G66" s="457"/>
      <c r="H66" s="457"/>
      <c r="I66" s="457"/>
      <c r="J66" s="457"/>
      <c r="K66" s="457"/>
      <c r="L66" s="457"/>
      <c r="M66" s="457" t="s">
        <v>307</v>
      </c>
      <c r="N66" s="457"/>
      <c r="O66" s="457"/>
      <c r="P66" s="458"/>
    </row>
    <row r="67" spans="2:16" x14ac:dyDescent="0.25">
      <c r="B67" s="539" t="s">
        <v>13</v>
      </c>
      <c r="C67" s="459"/>
      <c r="D67" s="540" t="str">
        <f>'BR-100'!D12</f>
        <v>1 - Initial Load Rating</v>
      </c>
      <c r="E67" s="540"/>
      <c r="F67" s="540"/>
      <c r="G67" s="540"/>
      <c r="H67" s="540"/>
      <c r="I67" s="540"/>
      <c r="J67" s="540"/>
      <c r="K67" s="540"/>
      <c r="L67" s="540"/>
      <c r="M67" s="459" t="b">
        <f>ISNA(VLOOKUP(D67,Purpose,1,FALSE))</f>
        <v>0</v>
      </c>
      <c r="N67" s="459"/>
      <c r="O67" s="459"/>
      <c r="P67" s="460"/>
    </row>
    <row r="68" spans="2:16" x14ac:dyDescent="0.25">
      <c r="B68" s="539" t="s">
        <v>14</v>
      </c>
      <c r="C68" s="459"/>
      <c r="D68" s="540" t="str">
        <f>'BR-100'!D14</f>
        <v>3 - AASHTO  BrR (VIRTIS)</v>
      </c>
      <c r="E68" s="540"/>
      <c r="F68" s="540"/>
      <c r="G68" s="540"/>
      <c r="H68" s="540"/>
      <c r="I68" s="540"/>
      <c r="J68" s="540"/>
      <c r="K68" s="540"/>
      <c r="L68" s="540"/>
      <c r="M68" s="459" t="b">
        <f>ISNA(VLOOKUP(D68,Software,1,FALSE))</f>
        <v>0</v>
      </c>
      <c r="N68" s="459"/>
      <c r="O68" s="459"/>
      <c r="P68" s="460"/>
    </row>
    <row r="69" spans="2:16" x14ac:dyDescent="0.25">
      <c r="B69" s="539" t="s">
        <v>15</v>
      </c>
      <c r="C69" s="459"/>
      <c r="D69" s="540" t="str">
        <f>'BR-100'!D16</f>
        <v>1 - Plan information available for load rating analysis</v>
      </c>
      <c r="E69" s="540"/>
      <c r="F69" s="540"/>
      <c r="G69" s="540"/>
      <c r="H69" s="540"/>
      <c r="I69" s="540"/>
      <c r="J69" s="540"/>
      <c r="K69" s="540"/>
      <c r="L69" s="540"/>
      <c r="M69" s="459" t="b">
        <f>ISNA(VLOOKUP(D69,Source,1,FALSE))</f>
        <v>0</v>
      </c>
      <c r="N69" s="459"/>
      <c r="O69" s="459"/>
      <c r="P69" s="460"/>
    </row>
    <row r="70" spans="2:16" x14ac:dyDescent="0.25">
      <c r="B70" s="539" t="s">
        <v>147</v>
      </c>
      <c r="C70" s="459"/>
      <c r="D70" s="540" t="str">
        <f>'BR-100'!D17</f>
        <v>6 - Load Factor (LF) rating reported by rating factor (RF)</v>
      </c>
      <c r="E70" s="540"/>
      <c r="F70" s="540"/>
      <c r="G70" s="540"/>
      <c r="H70" s="540"/>
      <c r="I70" s="540"/>
      <c r="J70" s="540"/>
      <c r="K70" s="540"/>
      <c r="L70" s="540"/>
      <c r="M70" s="459" t="b">
        <f>ISNA(VLOOKUP(D70,Method,1,FALSE))</f>
        <v>0</v>
      </c>
      <c r="N70" s="459"/>
      <c r="O70" s="459"/>
      <c r="P70" s="460"/>
    </row>
    <row r="71" spans="2:16" ht="15.75" thickBot="1" x14ac:dyDescent="0.3">
      <c r="B71" s="535" t="s">
        <v>16</v>
      </c>
      <c r="C71" s="467"/>
      <c r="D71" s="536" t="str">
        <f>'BR-100'!D18</f>
        <v>6 - HS20-44 &amp; Alternate Military Loading</v>
      </c>
      <c r="E71" s="536"/>
      <c r="F71" s="536"/>
      <c r="G71" s="536"/>
      <c r="H71" s="536"/>
      <c r="I71" s="536"/>
      <c r="J71" s="536"/>
      <c r="K71" s="536"/>
      <c r="L71" s="536"/>
      <c r="M71" s="467" t="b">
        <f>ISNA(VLOOKUP(D71,Design,1,FALSE))</f>
        <v>0</v>
      </c>
      <c r="N71" s="467"/>
      <c r="O71" s="467"/>
      <c r="P71" s="468"/>
    </row>
    <row r="72" spans="2:16" ht="15.75" thickBot="1" x14ac:dyDescent="0.3">
      <c r="M72" s="463">
        <f>COUNTIF(M67:P71,TRUE)</f>
        <v>0</v>
      </c>
      <c r="N72" s="464"/>
      <c r="O72" s="464"/>
      <c r="P72" s="469"/>
    </row>
    <row r="73" spans="2:16" ht="15.75" thickBot="1" x14ac:dyDescent="0.3"/>
    <row r="74" spans="2:16" ht="15.75" thickBot="1" x14ac:dyDescent="0.3">
      <c r="B74" s="238" t="s">
        <v>461</v>
      </c>
      <c r="C74" s="237" t="s">
        <v>462</v>
      </c>
      <c r="D74" s="466" t="str">
        <f>INDEX(List!V3:V15,INDEX(List!U3:U15,MATCH('Calcs &amp; Signs'!D71,List!V3:V15,0),1),1)</f>
        <v>5 - HS20</v>
      </c>
      <c r="E74" s="461"/>
      <c r="F74" s="461"/>
      <c r="G74" s="461"/>
      <c r="H74" s="461"/>
      <c r="I74" s="461"/>
      <c r="J74" s="461"/>
      <c r="K74" s="461"/>
      <c r="L74" s="462"/>
    </row>
  </sheetData>
  <sheetProtection sheet="1" objects="1" scenarios="1"/>
  <mergeCells count="121">
    <mergeCell ref="AB9:AD9"/>
    <mergeCell ref="AB17:AC17"/>
    <mergeCell ref="V9:W9"/>
    <mergeCell ref="E14:F14"/>
    <mergeCell ref="E15:F15"/>
    <mergeCell ref="L9:N9"/>
    <mergeCell ref="G10:G11"/>
    <mergeCell ref="P9:Q9"/>
    <mergeCell ref="S9:T9"/>
    <mergeCell ref="L10:N11"/>
    <mergeCell ref="AB10:AD11"/>
    <mergeCell ref="S13:T13"/>
    <mergeCell ref="S11:T12"/>
    <mergeCell ref="Y12:Z12"/>
    <mergeCell ref="Y13:Z13"/>
    <mergeCell ref="Y14:Z14"/>
    <mergeCell ref="V12:W15"/>
    <mergeCell ref="Y9:Z9"/>
    <mergeCell ref="B32:C32"/>
    <mergeCell ref="K28:L28"/>
    <mergeCell ref="M28:N28"/>
    <mergeCell ref="E22:F22"/>
    <mergeCell ref="E23:F23"/>
    <mergeCell ref="B25:C25"/>
    <mergeCell ref="M72:P72"/>
    <mergeCell ref="B71:C71"/>
    <mergeCell ref="D71:L71"/>
    <mergeCell ref="B49:C49"/>
    <mergeCell ref="B67:C67"/>
    <mergeCell ref="B68:C68"/>
    <mergeCell ref="B69:C69"/>
    <mergeCell ref="B70:C70"/>
    <mergeCell ref="B66:L66"/>
    <mergeCell ref="D67:L67"/>
    <mergeCell ref="D68:L68"/>
    <mergeCell ref="M71:P71"/>
    <mergeCell ref="D69:L69"/>
    <mergeCell ref="D70:L70"/>
    <mergeCell ref="L53:W54"/>
    <mergeCell ref="L52:W52"/>
    <mergeCell ref="C7:D7"/>
    <mergeCell ref="K27:L27"/>
    <mergeCell ref="M27:N27"/>
    <mergeCell ref="M26:N26"/>
    <mergeCell ref="O26:P26"/>
    <mergeCell ref="K25:N25"/>
    <mergeCell ref="K26:L26"/>
    <mergeCell ref="B56:C56"/>
    <mergeCell ref="B51:C51"/>
    <mergeCell ref="C52:D52"/>
    <mergeCell ref="C53:D53"/>
    <mergeCell ref="C54:D54"/>
    <mergeCell ref="E52:G52"/>
    <mergeCell ref="E53:G53"/>
    <mergeCell ref="E54:G54"/>
    <mergeCell ref="I52:K52"/>
    <mergeCell ref="I53:K53"/>
    <mergeCell ref="B47:C47"/>
    <mergeCell ref="B48:C48"/>
    <mergeCell ref="D32:G32"/>
    <mergeCell ref="D31:G31"/>
    <mergeCell ref="K29:N29"/>
    <mergeCell ref="M30:N30"/>
    <mergeCell ref="B34:G34"/>
    <mergeCell ref="B2:C2"/>
    <mergeCell ref="B9:C9"/>
    <mergeCell ref="E21:F21"/>
    <mergeCell ref="E18:F18"/>
    <mergeCell ref="E20:F20"/>
    <mergeCell ref="E19:F19"/>
    <mergeCell ref="L21:X21"/>
    <mergeCell ref="L19:X19"/>
    <mergeCell ref="L20:X20"/>
    <mergeCell ref="H10:H11"/>
    <mergeCell ref="K4:N4"/>
    <mergeCell ref="B3:C3"/>
    <mergeCell ref="B4:C4"/>
    <mergeCell ref="N3:O3"/>
    <mergeCell ref="E16:F16"/>
    <mergeCell ref="E17:F17"/>
    <mergeCell ref="L17:M17"/>
    <mergeCell ref="K3:M3"/>
    <mergeCell ref="B10:B11"/>
    <mergeCell ref="G4:H4"/>
    <mergeCell ref="D10:D11"/>
    <mergeCell ref="E10:F11"/>
    <mergeCell ref="C10:C11"/>
    <mergeCell ref="K7:P7"/>
    <mergeCell ref="B36:G36"/>
    <mergeCell ref="F37:G37"/>
    <mergeCell ref="F38:G38"/>
    <mergeCell ref="F39:G39"/>
    <mergeCell ref="F40:G40"/>
    <mergeCell ref="F41:G41"/>
    <mergeCell ref="F42:G42"/>
    <mergeCell ref="F43:G43"/>
    <mergeCell ref="D74:L74"/>
    <mergeCell ref="D48:H48"/>
    <mergeCell ref="D47:H47"/>
    <mergeCell ref="D49:H49"/>
    <mergeCell ref="I54:K54"/>
    <mergeCell ref="B65:C65"/>
    <mergeCell ref="B46:C46"/>
    <mergeCell ref="K30:L30"/>
    <mergeCell ref="S26:T26"/>
    <mergeCell ref="O27:P27"/>
    <mergeCell ref="O28:P28"/>
    <mergeCell ref="Q26:R26"/>
    <mergeCell ref="Q27:R27"/>
    <mergeCell ref="Q28:R28"/>
    <mergeCell ref="S27:T27"/>
    <mergeCell ref="S28:T28"/>
    <mergeCell ref="M66:P66"/>
    <mergeCell ref="M67:P67"/>
    <mergeCell ref="M68:P68"/>
    <mergeCell ref="M69:P69"/>
    <mergeCell ref="M70:P70"/>
    <mergeCell ref="O30:P30"/>
    <mergeCell ref="Q30:R30"/>
    <mergeCell ref="S30:T30"/>
    <mergeCell ref="O29:T29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13</xdr:col>
                    <xdr:colOff>457200</xdr:colOff>
                    <xdr:row>2</xdr:row>
                    <xdr:rowOff>190500</xdr:rowOff>
                  </from>
                  <to>
                    <xdr:col>14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2:AC91"/>
  <sheetViews>
    <sheetView topLeftCell="Q1" zoomScaleNormal="100" workbookViewId="0">
      <selection activeCell="X19" sqref="X19:X20"/>
    </sheetView>
  </sheetViews>
  <sheetFormatPr defaultRowHeight="15" x14ac:dyDescent="0.25"/>
  <cols>
    <col min="1" max="1" width="15.140625" style="16" bestFit="1" customWidth="1"/>
    <col min="2" max="2" width="11.7109375" style="16" customWidth="1"/>
    <col min="3" max="4" width="9.140625" style="16"/>
    <col min="7" max="7" width="45.7109375" customWidth="1"/>
    <col min="10" max="10" width="60" customWidth="1"/>
    <col min="13" max="13" width="62" customWidth="1"/>
    <col min="16" max="16" width="79.7109375" customWidth="1"/>
    <col min="17" max="17" width="12" customWidth="1"/>
    <col min="18" max="18" width="17.5703125" customWidth="1"/>
    <col min="22" max="22" width="49.42578125" customWidth="1"/>
    <col min="25" max="25" width="41.140625" bestFit="1" customWidth="1"/>
    <col min="26" max="26" width="9.7109375" customWidth="1"/>
    <col min="27" max="27" width="38.140625" bestFit="1" customWidth="1"/>
    <col min="28" max="28" width="10" customWidth="1"/>
    <col min="29" max="29" width="24.140625" bestFit="1" customWidth="1"/>
  </cols>
  <sheetData>
    <row r="2" spans="1:29" x14ac:dyDescent="0.25">
      <c r="G2" s="8" t="s">
        <v>146</v>
      </c>
      <c r="J2" s="8" t="s">
        <v>177</v>
      </c>
      <c r="M2" s="8" t="s">
        <v>158</v>
      </c>
      <c r="P2" s="8" t="s">
        <v>159</v>
      </c>
      <c r="Q2" s="4" t="s">
        <v>180</v>
      </c>
      <c r="R2" s="4" t="s">
        <v>179</v>
      </c>
      <c r="U2" s="2" t="s">
        <v>463</v>
      </c>
      <c r="V2" s="4" t="s">
        <v>167</v>
      </c>
      <c r="X2" s="2" t="s">
        <v>400</v>
      </c>
      <c r="Y2" s="4" t="s">
        <v>186</v>
      </c>
      <c r="AA2" s="4" t="s">
        <v>188</v>
      </c>
      <c r="AC2" s="4" t="s">
        <v>196</v>
      </c>
    </row>
    <row r="3" spans="1:29" ht="14.25" customHeight="1" x14ac:dyDescent="0.25">
      <c r="A3" s="2" t="s">
        <v>19</v>
      </c>
      <c r="B3" s="2" t="s">
        <v>20</v>
      </c>
      <c r="C3" s="2" t="s">
        <v>21</v>
      </c>
      <c r="D3" s="2" t="s">
        <v>22</v>
      </c>
      <c r="G3" s="9" t="s">
        <v>127</v>
      </c>
      <c r="J3" s="9" t="s">
        <v>134</v>
      </c>
      <c r="M3" s="9" t="s">
        <v>136</v>
      </c>
      <c r="P3" s="3" t="s">
        <v>323</v>
      </c>
      <c r="Q3" s="3" t="s">
        <v>324</v>
      </c>
      <c r="R3" s="3" t="s">
        <v>5</v>
      </c>
      <c r="U3" s="2">
        <v>1</v>
      </c>
      <c r="V3" s="5" t="s">
        <v>165</v>
      </c>
      <c r="X3" s="2">
        <v>0</v>
      </c>
      <c r="Y3" s="3" t="s">
        <v>187</v>
      </c>
      <c r="AA3" s="3"/>
      <c r="AC3" s="3" t="s">
        <v>197</v>
      </c>
    </row>
    <row r="4" spans="1:29" ht="14.25" customHeight="1" x14ac:dyDescent="0.25">
      <c r="A4" s="2">
        <v>1</v>
      </c>
      <c r="B4" s="2" t="s">
        <v>23</v>
      </c>
      <c r="C4" s="2" t="s">
        <v>38</v>
      </c>
      <c r="D4" s="2">
        <v>9</v>
      </c>
      <c r="G4" s="9" t="s">
        <v>128</v>
      </c>
      <c r="J4" s="9" t="s">
        <v>135</v>
      </c>
      <c r="M4" s="9" t="s">
        <v>330</v>
      </c>
      <c r="P4" s="3" t="s">
        <v>325</v>
      </c>
      <c r="Q4" s="3" t="s">
        <v>324</v>
      </c>
      <c r="R4" s="3" t="s">
        <v>5</v>
      </c>
      <c r="U4" s="2">
        <v>2</v>
      </c>
      <c r="V4" s="5" t="s">
        <v>140</v>
      </c>
      <c r="X4" s="2">
        <v>9.9999900000000003E-3</v>
      </c>
      <c r="Y4" s="3" t="s">
        <v>468</v>
      </c>
      <c r="AA4" s="3" t="s">
        <v>189</v>
      </c>
      <c r="AC4" s="3" t="s">
        <v>198</v>
      </c>
    </row>
    <row r="5" spans="1:29" ht="14.25" customHeight="1" x14ac:dyDescent="0.25">
      <c r="A5" s="2">
        <v>2</v>
      </c>
      <c r="B5" s="2" t="s">
        <v>24</v>
      </c>
      <c r="C5" s="2" t="s">
        <v>39</v>
      </c>
      <c r="D5" s="2">
        <v>1</v>
      </c>
      <c r="G5" s="9" t="s">
        <v>129</v>
      </c>
      <c r="J5" s="9" t="s">
        <v>168</v>
      </c>
      <c r="M5" s="9" t="s">
        <v>137</v>
      </c>
      <c r="P5" s="3" t="s">
        <v>326</v>
      </c>
      <c r="Q5" s="3" t="s">
        <v>324</v>
      </c>
      <c r="R5" s="3" t="s">
        <v>5</v>
      </c>
      <c r="U5" s="2">
        <v>3</v>
      </c>
      <c r="V5" s="5" t="s">
        <v>141</v>
      </c>
      <c r="X5" s="2">
        <v>9.9999999899999997E-2</v>
      </c>
      <c r="Y5" s="3" t="s">
        <v>467</v>
      </c>
      <c r="AA5" s="3" t="s">
        <v>190</v>
      </c>
    </row>
    <row r="6" spans="1:29" ht="14.25" customHeight="1" x14ac:dyDescent="0.25">
      <c r="A6" s="2">
        <v>3</v>
      </c>
      <c r="B6" s="2" t="s">
        <v>25</v>
      </c>
      <c r="C6" s="2" t="s">
        <v>40</v>
      </c>
      <c r="D6" s="2">
        <v>3</v>
      </c>
      <c r="G6" s="9" t="s">
        <v>130</v>
      </c>
      <c r="J6" s="9" t="s">
        <v>169</v>
      </c>
      <c r="M6" s="9" t="s">
        <v>157</v>
      </c>
      <c r="P6" s="10" t="s">
        <v>181</v>
      </c>
      <c r="Q6" s="3" t="s">
        <v>153</v>
      </c>
      <c r="R6" s="3" t="s">
        <v>5</v>
      </c>
      <c r="U6" s="2">
        <v>4</v>
      </c>
      <c r="V6" s="5" t="s">
        <v>142</v>
      </c>
      <c r="X6" s="2">
        <v>0.1999999999</v>
      </c>
      <c r="Y6" s="3" t="s">
        <v>466</v>
      </c>
      <c r="AA6" s="3" t="s">
        <v>201</v>
      </c>
    </row>
    <row r="7" spans="1:29" ht="14.25" customHeight="1" x14ac:dyDescent="0.25">
      <c r="A7" s="2">
        <v>4</v>
      </c>
      <c r="B7" s="2" t="s">
        <v>31</v>
      </c>
      <c r="C7" s="2" t="s">
        <v>41</v>
      </c>
      <c r="D7" s="2">
        <v>4</v>
      </c>
      <c r="G7" s="10" t="s">
        <v>329</v>
      </c>
      <c r="J7" s="9" t="s">
        <v>170</v>
      </c>
      <c r="M7" s="9" t="s">
        <v>138</v>
      </c>
      <c r="P7" s="10" t="s">
        <v>182</v>
      </c>
      <c r="Q7" s="3" t="s">
        <v>153</v>
      </c>
      <c r="R7" s="3" t="s">
        <v>5</v>
      </c>
      <c r="U7" s="2">
        <v>5</v>
      </c>
      <c r="V7" s="5" t="s">
        <v>143</v>
      </c>
      <c r="X7" s="2">
        <v>0.29999999900000002</v>
      </c>
      <c r="Y7" s="3" t="s">
        <v>465</v>
      </c>
      <c r="AA7" s="3" t="s">
        <v>191</v>
      </c>
    </row>
    <row r="8" spans="1:29" ht="14.25" customHeight="1" x14ac:dyDescent="0.25">
      <c r="A8" s="2">
        <v>5</v>
      </c>
      <c r="B8" s="2" t="s">
        <v>26</v>
      </c>
      <c r="C8" s="2" t="s">
        <v>42</v>
      </c>
      <c r="D8" s="2">
        <v>10</v>
      </c>
      <c r="G8" s="10" t="s">
        <v>131</v>
      </c>
      <c r="J8" s="10" t="s">
        <v>171</v>
      </c>
      <c r="M8" s="11"/>
      <c r="P8" s="9" t="s">
        <v>183</v>
      </c>
      <c r="Q8" s="3" t="s">
        <v>153</v>
      </c>
      <c r="R8" s="3" t="s">
        <v>149</v>
      </c>
      <c r="U8" s="2">
        <v>6</v>
      </c>
      <c r="V8" s="5" t="s">
        <v>144</v>
      </c>
      <c r="X8" s="2">
        <v>0.39999999899999999</v>
      </c>
      <c r="Y8" s="3" t="s">
        <v>464</v>
      </c>
      <c r="AA8" s="3" t="s">
        <v>192</v>
      </c>
    </row>
    <row r="9" spans="1:29" ht="14.25" customHeight="1" x14ac:dyDescent="0.25">
      <c r="A9" s="2">
        <v>6</v>
      </c>
      <c r="B9" s="2" t="s">
        <v>27</v>
      </c>
      <c r="C9" s="2" t="s">
        <v>43</v>
      </c>
      <c r="D9" s="2">
        <v>7</v>
      </c>
      <c r="G9" s="10" t="s">
        <v>132</v>
      </c>
      <c r="J9" s="10" t="s">
        <v>172</v>
      </c>
      <c r="P9" s="9" t="s">
        <v>203</v>
      </c>
      <c r="Q9" s="3" t="s">
        <v>153</v>
      </c>
      <c r="R9" s="3" t="s">
        <v>5</v>
      </c>
      <c r="U9" s="2">
        <v>6</v>
      </c>
      <c r="V9" s="5" t="s">
        <v>145</v>
      </c>
      <c r="AA9" s="3" t="s">
        <v>199</v>
      </c>
    </row>
    <row r="10" spans="1:29" ht="14.25" customHeight="1" x14ac:dyDescent="0.25">
      <c r="A10" s="2">
        <v>7</v>
      </c>
      <c r="B10" s="2" t="s">
        <v>28</v>
      </c>
      <c r="C10" s="2" t="s">
        <v>44</v>
      </c>
      <c r="D10" s="2">
        <v>11</v>
      </c>
      <c r="G10" s="10" t="s">
        <v>133</v>
      </c>
      <c r="J10" s="10" t="s">
        <v>173</v>
      </c>
      <c r="P10" s="9" t="s">
        <v>204</v>
      </c>
      <c r="Q10" s="3" t="s">
        <v>153</v>
      </c>
      <c r="R10" s="3" t="s">
        <v>5</v>
      </c>
      <c r="U10" s="2">
        <v>8</v>
      </c>
      <c r="V10" s="5" t="s">
        <v>160</v>
      </c>
      <c r="AA10" s="3" t="s">
        <v>193</v>
      </c>
    </row>
    <row r="11" spans="1:29" ht="15" customHeight="1" x14ac:dyDescent="0.25">
      <c r="A11" s="2">
        <v>8</v>
      </c>
      <c r="B11" s="2" t="s">
        <v>29</v>
      </c>
      <c r="C11" s="2" t="s">
        <v>45</v>
      </c>
      <c r="D11" s="2">
        <v>9</v>
      </c>
      <c r="G11" s="7"/>
      <c r="J11" s="10" t="s">
        <v>174</v>
      </c>
      <c r="P11" s="9" t="s">
        <v>205</v>
      </c>
      <c r="Q11" s="3" t="s">
        <v>153</v>
      </c>
      <c r="R11" s="3" t="s">
        <v>149</v>
      </c>
      <c r="U11" s="2">
        <v>9</v>
      </c>
      <c r="V11" s="5" t="s">
        <v>161</v>
      </c>
      <c r="AA11" s="3" t="s">
        <v>194</v>
      </c>
    </row>
    <row r="12" spans="1:29" ht="15" customHeight="1" x14ac:dyDescent="0.25">
      <c r="A12" s="2">
        <v>9</v>
      </c>
      <c r="B12" s="2" t="s">
        <v>30</v>
      </c>
      <c r="C12" s="2" t="s">
        <v>46</v>
      </c>
      <c r="D12" s="2">
        <v>8</v>
      </c>
      <c r="G12" s="7"/>
      <c r="J12" s="9" t="s">
        <v>175</v>
      </c>
      <c r="P12" s="9" t="s">
        <v>139</v>
      </c>
      <c r="Q12" s="3" t="s">
        <v>153</v>
      </c>
      <c r="R12" s="3" t="s">
        <v>150</v>
      </c>
      <c r="U12" s="2">
        <v>10</v>
      </c>
      <c r="V12" s="5" t="s">
        <v>162</v>
      </c>
      <c r="AA12" s="3" t="s">
        <v>200</v>
      </c>
    </row>
    <row r="13" spans="1:29" ht="15" customHeight="1" x14ac:dyDescent="0.25">
      <c r="A13" s="2">
        <v>10</v>
      </c>
      <c r="B13" s="2" t="s">
        <v>32</v>
      </c>
      <c r="C13" s="2" t="s">
        <v>47</v>
      </c>
      <c r="D13" s="2">
        <v>11</v>
      </c>
      <c r="J13" s="9" t="s">
        <v>176</v>
      </c>
      <c r="P13" s="9"/>
      <c r="Q13" s="3"/>
      <c r="R13" s="3"/>
      <c r="U13" s="2">
        <v>11</v>
      </c>
      <c r="V13" s="5" t="s">
        <v>163</v>
      </c>
      <c r="AA13" s="3" t="s">
        <v>195</v>
      </c>
    </row>
    <row r="14" spans="1:29" ht="15" customHeight="1" x14ac:dyDescent="0.25">
      <c r="A14" s="2">
        <v>11</v>
      </c>
      <c r="B14" s="2" t="s">
        <v>33</v>
      </c>
      <c r="C14" s="2" t="s">
        <v>48</v>
      </c>
      <c r="D14" s="2">
        <v>7</v>
      </c>
      <c r="P14" s="6"/>
      <c r="Q14" s="12"/>
      <c r="R14" s="12"/>
      <c r="U14" s="2">
        <v>12</v>
      </c>
      <c r="V14" s="5" t="s">
        <v>166</v>
      </c>
    </row>
    <row r="15" spans="1:29" ht="15" customHeight="1" x14ac:dyDescent="0.25">
      <c r="A15" s="2">
        <v>12</v>
      </c>
      <c r="B15" s="2" t="s">
        <v>34</v>
      </c>
      <c r="C15" s="2" t="s">
        <v>49</v>
      </c>
      <c r="D15" s="2">
        <v>7</v>
      </c>
      <c r="P15" s="12"/>
      <c r="Q15" s="12"/>
      <c r="R15" s="12"/>
      <c r="U15" s="2">
        <v>13</v>
      </c>
      <c r="V15" s="5" t="s">
        <v>164</v>
      </c>
    </row>
    <row r="16" spans="1:29" ht="15" customHeight="1" x14ac:dyDescent="0.25">
      <c r="A16" s="2">
        <v>13</v>
      </c>
      <c r="B16" s="2" t="s">
        <v>35</v>
      </c>
      <c r="C16" s="2" t="s">
        <v>50</v>
      </c>
      <c r="D16" s="2">
        <v>8</v>
      </c>
      <c r="P16" s="12"/>
      <c r="Q16" s="12"/>
      <c r="R16" s="12"/>
      <c r="V16" s="6"/>
    </row>
    <row r="17" spans="1:22" ht="15" customHeight="1" x14ac:dyDescent="0.25">
      <c r="A17" s="2">
        <v>14</v>
      </c>
      <c r="B17" s="2" t="s">
        <v>36</v>
      </c>
      <c r="C17" s="2" t="s">
        <v>51</v>
      </c>
      <c r="D17" s="2">
        <v>8</v>
      </c>
      <c r="P17" s="12"/>
      <c r="Q17" s="12"/>
      <c r="R17" s="12"/>
      <c r="V17" s="7"/>
    </row>
    <row r="18" spans="1:22" ht="15" customHeight="1" x14ac:dyDescent="0.25">
      <c r="A18" s="2">
        <v>15</v>
      </c>
      <c r="B18" s="2" t="s">
        <v>37</v>
      </c>
      <c r="C18" s="2" t="s">
        <v>52</v>
      </c>
      <c r="D18" s="2">
        <v>11</v>
      </c>
      <c r="P18" s="12"/>
      <c r="Q18" s="12"/>
      <c r="R18" s="12"/>
      <c r="V18" s="7"/>
    </row>
    <row r="19" spans="1:22" ht="15" customHeight="1" x14ac:dyDescent="0.25">
      <c r="A19" s="2">
        <v>16</v>
      </c>
      <c r="B19" s="2" t="s">
        <v>206</v>
      </c>
      <c r="C19" s="2" t="s">
        <v>53</v>
      </c>
      <c r="D19" s="2">
        <v>5</v>
      </c>
      <c r="P19" s="13"/>
      <c r="Q19" s="12"/>
      <c r="R19" s="12"/>
      <c r="V19" s="6"/>
    </row>
    <row r="20" spans="1:22" x14ac:dyDescent="0.25">
      <c r="A20" s="2">
        <v>17</v>
      </c>
      <c r="B20" s="2" t="s">
        <v>207</v>
      </c>
      <c r="C20" s="2" t="s">
        <v>54</v>
      </c>
      <c r="D20" s="2">
        <v>3</v>
      </c>
      <c r="V20" s="7"/>
    </row>
    <row r="21" spans="1:22" x14ac:dyDescent="0.25">
      <c r="A21" s="2">
        <v>18</v>
      </c>
      <c r="B21" s="2" t="s">
        <v>208</v>
      </c>
      <c r="C21" s="2" t="s">
        <v>55</v>
      </c>
      <c r="D21" s="2">
        <v>12</v>
      </c>
    </row>
    <row r="22" spans="1:22" x14ac:dyDescent="0.25">
      <c r="A22" s="2">
        <v>19</v>
      </c>
      <c r="B22" s="2" t="s">
        <v>209</v>
      </c>
      <c r="C22" s="2" t="s">
        <v>56</v>
      </c>
      <c r="D22" s="2">
        <v>7</v>
      </c>
    </row>
    <row r="23" spans="1:22" x14ac:dyDescent="0.25">
      <c r="A23" s="2">
        <v>20</v>
      </c>
      <c r="B23" s="2" t="s">
        <v>210</v>
      </c>
      <c r="C23" s="2" t="s">
        <v>57</v>
      </c>
      <c r="D23" s="2">
        <v>1</v>
      </c>
    </row>
    <row r="24" spans="1:22" x14ac:dyDescent="0.25">
      <c r="A24" s="2">
        <v>21</v>
      </c>
      <c r="B24" s="2" t="s">
        <v>211</v>
      </c>
      <c r="C24" s="2" t="s">
        <v>58</v>
      </c>
      <c r="D24" s="2">
        <v>6</v>
      </c>
    </row>
    <row r="25" spans="1:22" x14ac:dyDescent="0.25">
      <c r="A25" s="2">
        <v>22</v>
      </c>
      <c r="B25" s="2" t="s">
        <v>212</v>
      </c>
      <c r="C25" s="2" t="s">
        <v>59</v>
      </c>
      <c r="D25" s="2">
        <v>3</v>
      </c>
    </row>
    <row r="26" spans="1:22" x14ac:dyDescent="0.25">
      <c r="A26" s="2">
        <v>23</v>
      </c>
      <c r="B26" s="2" t="s">
        <v>213</v>
      </c>
      <c r="C26" s="2" t="s">
        <v>60</v>
      </c>
      <c r="D26" s="2">
        <v>5</v>
      </c>
    </row>
    <row r="27" spans="1:22" x14ac:dyDescent="0.25">
      <c r="A27" s="2">
        <v>24</v>
      </c>
      <c r="B27" s="2" t="s">
        <v>214</v>
      </c>
      <c r="C27" s="2" t="s">
        <v>61</v>
      </c>
      <c r="D27" s="2">
        <v>6</v>
      </c>
    </row>
    <row r="28" spans="1:22" x14ac:dyDescent="0.25">
      <c r="A28" s="2">
        <v>25</v>
      </c>
      <c r="B28" s="2" t="s">
        <v>215</v>
      </c>
      <c r="C28" s="2" t="s">
        <v>62</v>
      </c>
      <c r="D28" s="2">
        <v>6</v>
      </c>
    </row>
    <row r="29" spans="1:22" x14ac:dyDescent="0.25">
      <c r="A29" s="2">
        <v>26</v>
      </c>
      <c r="B29" s="2" t="s">
        <v>216</v>
      </c>
      <c r="C29" s="2" t="s">
        <v>63</v>
      </c>
      <c r="D29" s="2">
        <v>2</v>
      </c>
    </row>
    <row r="30" spans="1:22" x14ac:dyDescent="0.25">
      <c r="A30" s="2">
        <v>27</v>
      </c>
      <c r="B30" s="2" t="s">
        <v>217</v>
      </c>
      <c r="C30" s="2" t="s">
        <v>64</v>
      </c>
      <c r="D30" s="2">
        <v>10</v>
      </c>
    </row>
    <row r="31" spans="1:22" x14ac:dyDescent="0.25">
      <c r="A31" s="2">
        <v>28</v>
      </c>
      <c r="B31" s="2" t="s">
        <v>218</v>
      </c>
      <c r="C31" s="2" t="s">
        <v>65</v>
      </c>
      <c r="D31" s="2">
        <v>12</v>
      </c>
    </row>
    <row r="32" spans="1:22" x14ac:dyDescent="0.25">
      <c r="A32" s="2">
        <v>29</v>
      </c>
      <c r="B32" s="2" t="s">
        <v>219</v>
      </c>
      <c r="C32" s="2" t="s">
        <v>66</v>
      </c>
      <c r="D32" s="2">
        <v>8</v>
      </c>
    </row>
    <row r="33" spans="1:4" x14ac:dyDescent="0.25">
      <c r="A33" s="2">
        <v>30</v>
      </c>
      <c r="B33" s="2" t="s">
        <v>220</v>
      </c>
      <c r="C33" s="2" t="s">
        <v>67</v>
      </c>
      <c r="D33" s="2">
        <v>5</v>
      </c>
    </row>
    <row r="34" spans="1:4" x14ac:dyDescent="0.25">
      <c r="A34" s="2">
        <v>31</v>
      </c>
      <c r="B34" s="2" t="s">
        <v>221</v>
      </c>
      <c r="C34" s="2" t="s">
        <v>68</v>
      </c>
      <c r="D34" s="2">
        <v>8</v>
      </c>
    </row>
    <row r="35" spans="1:4" x14ac:dyDescent="0.25">
      <c r="A35" s="2">
        <v>32</v>
      </c>
      <c r="B35" s="2" t="s">
        <v>222</v>
      </c>
      <c r="C35" s="2" t="s">
        <v>69</v>
      </c>
      <c r="D35" s="2">
        <v>1</v>
      </c>
    </row>
    <row r="36" spans="1:4" x14ac:dyDescent="0.25">
      <c r="A36" s="2">
        <v>33</v>
      </c>
      <c r="B36" s="2" t="s">
        <v>224</v>
      </c>
      <c r="C36" s="2" t="s">
        <v>70</v>
      </c>
      <c r="D36" s="2">
        <v>1</v>
      </c>
    </row>
    <row r="37" spans="1:4" x14ac:dyDescent="0.25">
      <c r="A37" s="2">
        <v>34</v>
      </c>
      <c r="B37" s="2" t="s">
        <v>223</v>
      </c>
      <c r="C37" s="2" t="s">
        <v>71</v>
      </c>
      <c r="D37" s="2">
        <v>11</v>
      </c>
    </row>
    <row r="38" spans="1:4" x14ac:dyDescent="0.25">
      <c r="A38" s="2">
        <v>35</v>
      </c>
      <c r="B38" s="2" t="s">
        <v>225</v>
      </c>
      <c r="C38" s="2" t="s">
        <v>72</v>
      </c>
      <c r="D38" s="2">
        <v>2</v>
      </c>
    </row>
    <row r="39" spans="1:4" x14ac:dyDescent="0.25">
      <c r="A39" s="2">
        <v>36</v>
      </c>
      <c r="B39" s="2" t="s">
        <v>226</v>
      </c>
      <c r="C39" s="2" t="s">
        <v>73</v>
      </c>
      <c r="D39" s="2">
        <v>9</v>
      </c>
    </row>
    <row r="40" spans="1:4" x14ac:dyDescent="0.25">
      <c r="A40" s="2">
        <v>37</v>
      </c>
      <c r="B40" s="2" t="s">
        <v>227</v>
      </c>
      <c r="C40" s="2" t="s">
        <v>74</v>
      </c>
      <c r="D40" s="2">
        <v>10</v>
      </c>
    </row>
    <row r="41" spans="1:4" x14ac:dyDescent="0.25">
      <c r="A41" s="2">
        <v>38</v>
      </c>
      <c r="B41" s="2" t="s">
        <v>228</v>
      </c>
      <c r="C41" s="2" t="s">
        <v>75</v>
      </c>
      <c r="D41" s="2">
        <v>11</v>
      </c>
    </row>
    <row r="42" spans="1:4" x14ac:dyDescent="0.25">
      <c r="A42" s="2">
        <v>39</v>
      </c>
      <c r="B42" s="2" t="s">
        <v>229</v>
      </c>
      <c r="C42" s="2" t="s">
        <v>76</v>
      </c>
      <c r="D42" s="2">
        <v>3</v>
      </c>
    </row>
    <row r="43" spans="1:4" x14ac:dyDescent="0.25">
      <c r="A43" s="2">
        <v>40</v>
      </c>
      <c r="B43" s="2" t="s">
        <v>230</v>
      </c>
      <c r="C43" s="2" t="s">
        <v>77</v>
      </c>
      <c r="D43" s="2">
        <v>9</v>
      </c>
    </row>
    <row r="44" spans="1:4" x14ac:dyDescent="0.25">
      <c r="A44" s="2">
        <v>41</v>
      </c>
      <c r="B44" s="2" t="s">
        <v>231</v>
      </c>
      <c r="C44" s="2" t="s">
        <v>78</v>
      </c>
      <c r="D44" s="2">
        <v>11</v>
      </c>
    </row>
    <row r="45" spans="1:4" x14ac:dyDescent="0.25">
      <c r="A45" s="2">
        <v>42</v>
      </c>
      <c r="B45" s="2" t="s">
        <v>232</v>
      </c>
      <c r="C45" s="2" t="s">
        <v>79</v>
      </c>
      <c r="D45" s="2">
        <v>5</v>
      </c>
    </row>
    <row r="46" spans="1:4" x14ac:dyDescent="0.25">
      <c r="A46" s="2">
        <v>43</v>
      </c>
      <c r="B46" s="2" t="s">
        <v>233</v>
      </c>
      <c r="C46" s="2" t="s">
        <v>80</v>
      </c>
      <c r="D46" s="2">
        <v>12</v>
      </c>
    </row>
    <row r="47" spans="1:4" x14ac:dyDescent="0.25">
      <c r="A47" s="2">
        <v>44</v>
      </c>
      <c r="B47" s="2" t="s">
        <v>234</v>
      </c>
      <c r="C47" s="2" t="s">
        <v>81</v>
      </c>
      <c r="D47" s="2">
        <v>9</v>
      </c>
    </row>
    <row r="48" spans="1:4" x14ac:dyDescent="0.25">
      <c r="A48" s="2">
        <v>45</v>
      </c>
      <c r="B48" s="2" t="s">
        <v>235</v>
      </c>
      <c r="C48" s="2" t="s">
        <v>82</v>
      </c>
      <c r="D48" s="2">
        <v>5</v>
      </c>
    </row>
    <row r="49" spans="1:4" x14ac:dyDescent="0.25">
      <c r="A49" s="2">
        <v>46</v>
      </c>
      <c r="B49" s="2" t="s">
        <v>236</v>
      </c>
      <c r="C49" s="2" t="s">
        <v>83</v>
      </c>
      <c r="D49" s="2">
        <v>7</v>
      </c>
    </row>
    <row r="50" spans="1:4" x14ac:dyDescent="0.25">
      <c r="A50" s="2">
        <v>47</v>
      </c>
      <c r="B50" s="2" t="s">
        <v>237</v>
      </c>
      <c r="C50" s="2" t="s">
        <v>84</v>
      </c>
      <c r="D50" s="2">
        <v>3</v>
      </c>
    </row>
    <row r="51" spans="1:4" x14ac:dyDescent="0.25">
      <c r="A51" s="2">
        <v>48</v>
      </c>
      <c r="B51" s="2" t="s">
        <v>238</v>
      </c>
      <c r="C51" s="2" t="s">
        <v>85</v>
      </c>
      <c r="D51" s="2">
        <v>2</v>
      </c>
    </row>
    <row r="52" spans="1:4" x14ac:dyDescent="0.25">
      <c r="A52" s="2">
        <v>49</v>
      </c>
      <c r="B52" s="2" t="s">
        <v>239</v>
      </c>
      <c r="C52" s="2" t="s">
        <v>86</v>
      </c>
      <c r="D52" s="2">
        <v>6</v>
      </c>
    </row>
    <row r="53" spans="1:4" x14ac:dyDescent="0.25">
      <c r="A53" s="2">
        <v>50</v>
      </c>
      <c r="B53" s="2" t="s">
        <v>240</v>
      </c>
      <c r="C53" s="2" t="s">
        <v>87</v>
      </c>
      <c r="D53" s="2">
        <v>4</v>
      </c>
    </row>
    <row r="54" spans="1:4" x14ac:dyDescent="0.25">
      <c r="A54" s="2">
        <v>51</v>
      </c>
      <c r="B54" s="2" t="s">
        <v>241</v>
      </c>
      <c r="C54" s="2" t="s">
        <v>88</v>
      </c>
      <c r="D54" s="2">
        <v>6</v>
      </c>
    </row>
    <row r="55" spans="1:4" x14ac:dyDescent="0.25">
      <c r="A55" s="2">
        <v>52</v>
      </c>
      <c r="B55" s="2" t="s">
        <v>242</v>
      </c>
      <c r="C55" s="2" t="s">
        <v>89</v>
      </c>
      <c r="D55" s="2">
        <v>3</v>
      </c>
    </row>
    <row r="56" spans="1:4" x14ac:dyDescent="0.25">
      <c r="A56" s="2">
        <v>53</v>
      </c>
      <c r="B56" s="2" t="s">
        <v>243</v>
      </c>
      <c r="C56" s="2" t="s">
        <v>90</v>
      </c>
      <c r="D56" s="2">
        <v>10</v>
      </c>
    </row>
    <row r="57" spans="1:4" x14ac:dyDescent="0.25">
      <c r="A57" s="2">
        <v>54</v>
      </c>
      <c r="B57" s="2" t="s">
        <v>244</v>
      </c>
      <c r="C57" s="2" t="s">
        <v>91</v>
      </c>
      <c r="D57" s="2">
        <v>7</v>
      </c>
    </row>
    <row r="58" spans="1:4" x14ac:dyDescent="0.25">
      <c r="A58" s="2">
        <v>55</v>
      </c>
      <c r="B58" s="2" t="s">
        <v>245</v>
      </c>
      <c r="C58" s="2" t="s">
        <v>92</v>
      </c>
      <c r="D58" s="2">
        <v>7</v>
      </c>
    </row>
    <row r="59" spans="1:4" x14ac:dyDescent="0.25">
      <c r="A59" s="2">
        <v>56</v>
      </c>
      <c r="B59" s="2" t="s">
        <v>246</v>
      </c>
      <c r="C59" s="2" t="s">
        <v>93</v>
      </c>
      <c r="D59" s="2">
        <v>10</v>
      </c>
    </row>
    <row r="60" spans="1:4" x14ac:dyDescent="0.25">
      <c r="A60" s="2">
        <v>57</v>
      </c>
      <c r="B60" s="2" t="s">
        <v>247</v>
      </c>
      <c r="C60" s="2" t="s">
        <v>94</v>
      </c>
      <c r="D60" s="2">
        <v>7</v>
      </c>
    </row>
    <row r="61" spans="1:4" x14ac:dyDescent="0.25">
      <c r="A61" s="2">
        <v>58</v>
      </c>
      <c r="B61" s="2" t="s">
        <v>248</v>
      </c>
      <c r="C61" s="2" t="s">
        <v>95</v>
      </c>
      <c r="D61" s="2">
        <v>10</v>
      </c>
    </row>
    <row r="62" spans="1:4" x14ac:dyDescent="0.25">
      <c r="A62" s="2">
        <v>59</v>
      </c>
      <c r="B62" s="2" t="s">
        <v>249</v>
      </c>
      <c r="C62" s="2" t="s">
        <v>96</v>
      </c>
      <c r="D62" s="2">
        <v>6</v>
      </c>
    </row>
    <row r="63" spans="1:4" x14ac:dyDescent="0.25">
      <c r="A63" s="2">
        <v>60</v>
      </c>
      <c r="B63" s="2" t="s">
        <v>250</v>
      </c>
      <c r="C63" s="2" t="s">
        <v>97</v>
      </c>
      <c r="D63" s="2">
        <v>5</v>
      </c>
    </row>
    <row r="64" spans="1:4" x14ac:dyDescent="0.25">
      <c r="A64" s="2">
        <v>61</v>
      </c>
      <c r="B64" s="2" t="s">
        <v>251</v>
      </c>
      <c r="C64" s="2" t="s">
        <v>98</v>
      </c>
      <c r="D64" s="2">
        <v>10</v>
      </c>
    </row>
    <row r="65" spans="1:4" x14ac:dyDescent="0.25">
      <c r="A65" s="2">
        <v>62</v>
      </c>
      <c r="B65" s="2" t="s">
        <v>252</v>
      </c>
      <c r="C65" s="2" t="s">
        <v>99</v>
      </c>
      <c r="D65" s="2">
        <v>2</v>
      </c>
    </row>
    <row r="66" spans="1:4" x14ac:dyDescent="0.25">
      <c r="A66" s="2">
        <v>63</v>
      </c>
      <c r="B66" s="2" t="s">
        <v>253</v>
      </c>
      <c r="C66" s="2" t="s">
        <v>100</v>
      </c>
      <c r="D66" s="2">
        <v>1</v>
      </c>
    </row>
    <row r="67" spans="1:4" x14ac:dyDescent="0.25">
      <c r="A67" s="2">
        <v>64</v>
      </c>
      <c r="B67" s="2" t="s">
        <v>254</v>
      </c>
      <c r="C67" s="2" t="s">
        <v>101</v>
      </c>
      <c r="D67" s="2">
        <v>5</v>
      </c>
    </row>
    <row r="68" spans="1:4" x14ac:dyDescent="0.25">
      <c r="A68" s="2">
        <v>65</v>
      </c>
      <c r="B68" s="2" t="s">
        <v>255</v>
      </c>
      <c r="C68" s="2" t="s">
        <v>102</v>
      </c>
      <c r="D68" s="2">
        <v>6</v>
      </c>
    </row>
    <row r="69" spans="1:4" x14ac:dyDescent="0.25">
      <c r="A69" s="2">
        <v>66</v>
      </c>
      <c r="B69" s="2" t="s">
        <v>256</v>
      </c>
      <c r="C69" s="2" t="s">
        <v>103</v>
      </c>
      <c r="D69" s="2">
        <v>9</v>
      </c>
    </row>
    <row r="70" spans="1:4" x14ac:dyDescent="0.25">
      <c r="A70" s="2">
        <v>67</v>
      </c>
      <c r="B70" s="2" t="s">
        <v>257</v>
      </c>
      <c r="C70" s="2" t="s">
        <v>104</v>
      </c>
      <c r="D70" s="2">
        <v>4</v>
      </c>
    </row>
    <row r="71" spans="1:4" x14ac:dyDescent="0.25">
      <c r="A71" s="2">
        <v>68</v>
      </c>
      <c r="B71" s="2" t="s">
        <v>258</v>
      </c>
      <c r="C71" s="2" t="s">
        <v>105</v>
      </c>
      <c r="D71" s="2">
        <v>8</v>
      </c>
    </row>
    <row r="72" spans="1:4" x14ac:dyDescent="0.25">
      <c r="A72" s="2">
        <v>69</v>
      </c>
      <c r="B72" s="2" t="s">
        <v>259</v>
      </c>
      <c r="C72" s="2" t="s">
        <v>106</v>
      </c>
      <c r="D72" s="2">
        <v>1</v>
      </c>
    </row>
    <row r="73" spans="1:4" x14ac:dyDescent="0.25">
      <c r="A73" s="2">
        <v>70</v>
      </c>
      <c r="B73" s="2" t="s">
        <v>260</v>
      </c>
      <c r="C73" s="2" t="s">
        <v>107</v>
      </c>
      <c r="D73" s="2">
        <v>3</v>
      </c>
    </row>
    <row r="74" spans="1:4" x14ac:dyDescent="0.25">
      <c r="A74" s="2">
        <v>71</v>
      </c>
      <c r="B74" s="2" t="s">
        <v>261</v>
      </c>
      <c r="C74" s="2" t="s">
        <v>108</v>
      </c>
      <c r="D74" s="2">
        <v>9</v>
      </c>
    </row>
    <row r="75" spans="1:4" x14ac:dyDescent="0.25">
      <c r="A75" s="2">
        <v>72</v>
      </c>
      <c r="B75" s="2" t="s">
        <v>262</v>
      </c>
      <c r="C75" s="2" t="s">
        <v>109</v>
      </c>
      <c r="D75" s="2">
        <v>2</v>
      </c>
    </row>
    <row r="76" spans="1:4" x14ac:dyDescent="0.25">
      <c r="A76" s="2">
        <v>73</v>
      </c>
      <c r="B76" s="2" t="s">
        <v>263</v>
      </c>
      <c r="C76" s="2" t="s">
        <v>110</v>
      </c>
      <c r="D76" s="2">
        <v>9</v>
      </c>
    </row>
    <row r="77" spans="1:4" x14ac:dyDescent="0.25">
      <c r="A77" s="2">
        <v>74</v>
      </c>
      <c r="B77" s="2" t="s">
        <v>264</v>
      </c>
      <c r="C77" s="2" t="s">
        <v>111</v>
      </c>
      <c r="D77" s="2">
        <v>2</v>
      </c>
    </row>
    <row r="78" spans="1:4" x14ac:dyDescent="0.25">
      <c r="A78" s="2">
        <v>75</v>
      </c>
      <c r="B78" s="2" t="s">
        <v>265</v>
      </c>
      <c r="C78" s="2" t="s">
        <v>112</v>
      </c>
      <c r="D78" s="2">
        <v>7</v>
      </c>
    </row>
    <row r="79" spans="1:4" x14ac:dyDescent="0.25">
      <c r="A79" s="2">
        <v>76</v>
      </c>
      <c r="B79" s="2" t="s">
        <v>266</v>
      </c>
      <c r="C79" s="2" t="s">
        <v>113</v>
      </c>
      <c r="D79" s="2">
        <v>4</v>
      </c>
    </row>
    <row r="80" spans="1:4" x14ac:dyDescent="0.25">
      <c r="A80" s="2">
        <v>77</v>
      </c>
      <c r="B80" s="2" t="s">
        <v>267</v>
      </c>
      <c r="C80" s="2" t="s">
        <v>114</v>
      </c>
      <c r="D80" s="2">
        <v>4</v>
      </c>
    </row>
    <row r="81" spans="1:4" x14ac:dyDescent="0.25">
      <c r="A81" s="2">
        <v>78</v>
      </c>
      <c r="B81" s="2" t="s">
        <v>268</v>
      </c>
      <c r="C81" s="2" t="s">
        <v>115</v>
      </c>
      <c r="D81" s="2">
        <v>4</v>
      </c>
    </row>
    <row r="82" spans="1:4" x14ac:dyDescent="0.25">
      <c r="A82" s="2">
        <v>79</v>
      </c>
      <c r="B82" s="2" t="s">
        <v>269</v>
      </c>
      <c r="C82" s="2" t="s">
        <v>116</v>
      </c>
      <c r="D82" s="2">
        <v>11</v>
      </c>
    </row>
    <row r="83" spans="1:4" x14ac:dyDescent="0.25">
      <c r="A83" s="2">
        <v>80</v>
      </c>
      <c r="B83" s="2" t="s">
        <v>270</v>
      </c>
      <c r="C83" s="2" t="s">
        <v>117</v>
      </c>
      <c r="D83" s="2">
        <v>6</v>
      </c>
    </row>
    <row r="84" spans="1:4" x14ac:dyDescent="0.25">
      <c r="A84" s="2">
        <v>81</v>
      </c>
      <c r="B84" s="2" t="s">
        <v>271</v>
      </c>
      <c r="C84" s="2" t="s">
        <v>118</v>
      </c>
      <c r="D84" s="2">
        <v>1</v>
      </c>
    </row>
    <row r="85" spans="1:4" x14ac:dyDescent="0.25">
      <c r="A85" s="2">
        <v>82</v>
      </c>
      <c r="B85" s="2" t="s">
        <v>272</v>
      </c>
      <c r="C85" s="2" t="s">
        <v>119</v>
      </c>
      <c r="D85" s="2">
        <v>10</v>
      </c>
    </row>
    <row r="86" spans="1:4" x14ac:dyDescent="0.25">
      <c r="A86" s="2">
        <v>83</v>
      </c>
      <c r="B86" s="2" t="s">
        <v>273</v>
      </c>
      <c r="C86" s="2" t="s">
        <v>120</v>
      </c>
      <c r="D86" s="2">
        <v>8</v>
      </c>
    </row>
    <row r="87" spans="1:4" x14ac:dyDescent="0.25">
      <c r="A87" s="2">
        <v>84</v>
      </c>
      <c r="B87" s="2" t="s">
        <v>274</v>
      </c>
      <c r="C87" s="2" t="s">
        <v>121</v>
      </c>
      <c r="D87" s="2">
        <v>10</v>
      </c>
    </row>
    <row r="88" spans="1:4" x14ac:dyDescent="0.25">
      <c r="A88" s="2">
        <v>85</v>
      </c>
      <c r="B88" s="2" t="s">
        <v>275</v>
      </c>
      <c r="C88" s="2" t="s">
        <v>122</v>
      </c>
      <c r="D88" s="2">
        <v>3</v>
      </c>
    </row>
    <row r="89" spans="1:4" x14ac:dyDescent="0.25">
      <c r="A89" s="2">
        <v>86</v>
      </c>
      <c r="B89" s="2" t="s">
        <v>276</v>
      </c>
      <c r="C89" s="2" t="s">
        <v>123</v>
      </c>
      <c r="D89" s="2">
        <v>2</v>
      </c>
    </row>
    <row r="90" spans="1:4" x14ac:dyDescent="0.25">
      <c r="A90" s="2">
        <v>87</v>
      </c>
      <c r="B90" s="2" t="s">
        <v>277</v>
      </c>
      <c r="C90" s="2" t="s">
        <v>124</v>
      </c>
      <c r="D90" s="2">
        <v>2</v>
      </c>
    </row>
    <row r="91" spans="1:4" x14ac:dyDescent="0.25">
      <c r="A91" s="2">
        <v>88</v>
      </c>
      <c r="B91" s="2" t="s">
        <v>278</v>
      </c>
      <c r="C91" s="2" t="str">
        <f>"WYA"</f>
        <v>WYA</v>
      </c>
      <c r="D91" s="2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BR-100</vt:lpstr>
      <vt:lpstr>SMS Coding Input</vt:lpstr>
      <vt:lpstr>AssetWise Coding Input</vt:lpstr>
      <vt:lpstr>Calcs &amp; Signs</vt:lpstr>
      <vt:lpstr>List</vt:lpstr>
      <vt:lpstr>BlankSign</vt:lpstr>
      <vt:lpstr>ClosureSign</vt:lpstr>
      <vt:lpstr>Design</vt:lpstr>
      <vt:lpstr>DesignRF</vt:lpstr>
      <vt:lpstr>Disabled</vt:lpstr>
      <vt:lpstr>EVSign</vt:lpstr>
      <vt:lpstr>LegalSign</vt:lpstr>
      <vt:lpstr>LLResponce</vt:lpstr>
      <vt:lpstr>Manual</vt:lpstr>
      <vt:lpstr>Method</vt:lpstr>
      <vt:lpstr>OpenPostedClosed</vt:lpstr>
      <vt:lpstr>'AssetWise Coding Input'!Print_Area</vt:lpstr>
      <vt:lpstr>'BR-100'!Print_Area</vt:lpstr>
      <vt:lpstr>'SMS Coding Input'!Print_Area</vt:lpstr>
      <vt:lpstr>Purpose</vt:lpstr>
      <vt:lpstr>Software</vt:lpstr>
      <vt:lpstr>Source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Fisher</dc:creator>
  <cp:lastModifiedBy>Michele Risko</cp:lastModifiedBy>
  <cp:lastPrinted>2020-03-03T15:59:35Z</cp:lastPrinted>
  <dcterms:created xsi:type="dcterms:W3CDTF">2015-02-24T16:25:39Z</dcterms:created>
  <dcterms:modified xsi:type="dcterms:W3CDTF">2021-02-01T18:56:35Z</dcterms:modified>
</cp:coreProperties>
</file>